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User\Desktop\TARYBOS SPRENDIMAI\2019 m biudzetas\pristatymas internete\"/>
    </mc:Choice>
  </mc:AlternateContent>
  <xr:revisionPtr revIDLastSave="0" documentId="13_ncr:1_{81959B00-B7EC-48A2-9124-53447B80586F}" xr6:coauthVersionLast="40" xr6:coauthVersionMax="40" xr10:uidLastSave="{00000000-0000-0000-0000-000000000000}"/>
  <bookViews>
    <workbookView xWindow="0" yWindow="0" windowWidth="28800" windowHeight="11448" xr2:uid="{00000000-000D-0000-FFFF-FFFF00000000}"/>
  </bookViews>
  <sheets>
    <sheet name="2019 m. biudzetas" sheetId="13" r:id="rId1"/>
  </sheets>
  <definedNames>
    <definedName name="_xlnm._FilterDatabase" localSheetId="0" hidden="1">'2019 m. biudzetas'!#REF!</definedName>
    <definedName name="_xlnm.Print_Titles" localSheetId="0">'2019 m. biudzetas'!$88:$92</definedName>
  </definedNames>
  <calcPr calcId="181029"/>
</workbook>
</file>

<file path=xl/calcChain.xml><?xml version="1.0" encoding="utf-8"?>
<calcChain xmlns="http://schemas.openxmlformats.org/spreadsheetml/2006/main">
  <c r="G69" i="13" l="1"/>
  <c r="G63" i="13"/>
  <c r="G52" i="13"/>
  <c r="G22" i="13"/>
  <c r="G20" i="13" s="1"/>
  <c r="G9" i="13"/>
  <c r="G11" i="13"/>
  <c r="G15" i="13"/>
  <c r="G77" i="13"/>
  <c r="G59" i="13"/>
  <c r="G57" i="13"/>
  <c r="G50" i="13"/>
  <c r="G19" i="13" l="1"/>
  <c r="G62" i="13"/>
  <c r="G21" i="13"/>
  <c r="G8" i="13"/>
  <c r="H123" i="13"/>
  <c r="H128" i="13"/>
  <c r="G80" i="13" l="1"/>
  <c r="G82" i="13" s="1"/>
  <c r="F178" i="13"/>
  <c r="H322" i="13" l="1"/>
  <c r="G322" i="13"/>
  <c r="F322" i="13"/>
  <c r="H323" i="13"/>
  <c r="E323" i="13" s="1"/>
  <c r="E324" i="13"/>
  <c r="F99" i="13"/>
  <c r="E322" i="13" l="1"/>
  <c r="H113" i="13"/>
  <c r="E300" i="13" l="1"/>
  <c r="F290" i="13"/>
  <c r="G279" i="13"/>
  <c r="F279" i="13"/>
  <c r="G271" i="13"/>
  <c r="F271" i="13"/>
  <c r="F267" i="13"/>
  <c r="H258" i="13"/>
  <c r="G258" i="13"/>
  <c r="G255" i="13" s="1"/>
  <c r="F258" i="13"/>
  <c r="F255" i="13" s="1"/>
  <c r="E257" i="13"/>
  <c r="G252" i="13"/>
  <c r="F252" i="13"/>
  <c r="F239" i="13"/>
  <c r="G224" i="13"/>
  <c r="F224" i="13"/>
  <c r="H216" i="13"/>
  <c r="G216" i="13"/>
  <c r="F216" i="13"/>
  <c r="H209" i="13"/>
  <c r="F209" i="13"/>
  <c r="H206" i="13"/>
  <c r="F202" i="13"/>
  <c r="F194" i="13"/>
  <c r="F187" i="13"/>
  <c r="H184" i="13"/>
  <c r="H178" i="13"/>
  <c r="F169" i="13"/>
  <c r="F159" i="13"/>
  <c r="F150" i="13"/>
  <c r="F142" i="13"/>
  <c r="F133" i="13"/>
  <c r="F128" i="13"/>
  <c r="E128" i="13" s="1"/>
  <c r="G107" i="13" l="1"/>
  <c r="G287" i="13" l="1"/>
  <c r="H276" i="13"/>
  <c r="G265" i="13"/>
  <c r="G236" i="13"/>
  <c r="G207" i="13"/>
  <c r="G200" i="13"/>
  <c r="G192" i="13"/>
  <c r="G185" i="13"/>
  <c r="G176" i="13"/>
  <c r="G167" i="13"/>
  <c r="G156" i="13"/>
  <c r="G148" i="13"/>
  <c r="G140" i="13"/>
  <c r="G131" i="13"/>
  <c r="G97" i="13"/>
  <c r="G309" i="13"/>
  <c r="E118" i="13"/>
  <c r="E107" i="13"/>
  <c r="E108" i="13"/>
  <c r="E101" i="13"/>
  <c r="E102" i="13"/>
  <c r="E103" i="13"/>
  <c r="H319" i="13"/>
  <c r="E260" i="13"/>
  <c r="E261" i="13"/>
  <c r="E226" i="13"/>
  <c r="E227" i="13"/>
  <c r="E228" i="13"/>
  <c r="E229" i="13"/>
  <c r="E218" i="13"/>
  <c r="E219" i="13"/>
  <c r="E220" i="13"/>
  <c r="E221" i="13"/>
  <c r="F306" i="13"/>
  <c r="G306" i="13"/>
  <c r="H306" i="13"/>
  <c r="H97" i="13"/>
  <c r="E125" i="13"/>
  <c r="E126" i="13"/>
  <c r="E127" i="13"/>
  <c r="E306" i="13" l="1"/>
  <c r="G276" i="13" l="1"/>
  <c r="F276" i="13"/>
  <c r="E276" i="13" s="1"/>
  <c r="G269" i="13"/>
  <c r="H255" i="13"/>
  <c r="E255" i="13" s="1"/>
  <c r="H247" i="13"/>
  <c r="G247" i="13"/>
  <c r="G243" i="13" s="1"/>
  <c r="F247" i="13"/>
  <c r="E239" i="13"/>
  <c r="H224" i="13"/>
  <c r="H222" i="13" s="1"/>
  <c r="G222" i="13"/>
  <c r="F222" i="13"/>
  <c r="G214" i="13"/>
  <c r="F214" i="13"/>
  <c r="H320" i="13"/>
  <c r="H202" i="13"/>
  <c r="H200" i="13" s="1"/>
  <c r="F200" i="13"/>
  <c r="H194" i="13"/>
  <c r="F158" i="13"/>
  <c r="F303" i="13" s="1"/>
  <c r="H303" i="13" l="1"/>
  <c r="E222" i="13"/>
  <c r="F192" i="13"/>
  <c r="H192" i="13"/>
  <c r="E298" i="13"/>
  <c r="H296" i="13"/>
  <c r="G296" i="13"/>
  <c r="F296" i="13"/>
  <c r="E296" i="13" s="1"/>
  <c r="E295" i="13"/>
  <c r="E294" i="13"/>
  <c r="E293" i="13"/>
  <c r="E291" i="13"/>
  <c r="E290" i="13"/>
  <c r="H287" i="13"/>
  <c r="F287" i="13"/>
  <c r="E285" i="13"/>
  <c r="E284" i="13"/>
  <c r="E282" i="13"/>
  <c r="E281" i="13"/>
  <c r="E280" i="13"/>
  <c r="E279" i="13"/>
  <c r="E275" i="13"/>
  <c r="E274" i="13"/>
  <c r="E273" i="13"/>
  <c r="E272" i="13"/>
  <c r="E271" i="13"/>
  <c r="H269" i="13"/>
  <c r="F269" i="13"/>
  <c r="E268" i="13"/>
  <c r="E267" i="13"/>
  <c r="H265" i="13"/>
  <c r="F265" i="13"/>
  <c r="E264" i="13"/>
  <c r="E263" i="13"/>
  <c r="E259" i="13"/>
  <c r="E258" i="13"/>
  <c r="E254" i="13"/>
  <c r="E253" i="13"/>
  <c r="E252" i="13"/>
  <c r="E251" i="13"/>
  <c r="E250" i="13"/>
  <c r="E249" i="13"/>
  <c r="E248" i="13"/>
  <c r="E247" i="13"/>
  <c r="E246" i="13"/>
  <c r="E245" i="13"/>
  <c r="H243" i="13"/>
  <c r="E242" i="13"/>
  <c r="E240" i="13"/>
  <c r="E238" i="13"/>
  <c r="H236" i="13"/>
  <c r="F236" i="13"/>
  <c r="E234" i="13"/>
  <c r="E232" i="13"/>
  <c r="E231" i="13"/>
  <c r="E225" i="13"/>
  <c r="E224" i="13"/>
  <c r="E217" i="13"/>
  <c r="E216" i="13"/>
  <c r="H214" i="13"/>
  <c r="E213" i="13"/>
  <c r="E212" i="13"/>
  <c r="E211" i="13"/>
  <c r="E210" i="13"/>
  <c r="E209" i="13"/>
  <c r="H207" i="13"/>
  <c r="E206" i="13"/>
  <c r="E205" i="13"/>
  <c r="E204" i="13"/>
  <c r="E203" i="13"/>
  <c r="E202" i="13"/>
  <c r="E199" i="13"/>
  <c r="E198" i="13"/>
  <c r="E197" i="13"/>
  <c r="E196" i="13"/>
  <c r="E195" i="13"/>
  <c r="E194" i="13"/>
  <c r="E191" i="13"/>
  <c r="E190" i="13"/>
  <c r="E189" i="13"/>
  <c r="E188" i="13"/>
  <c r="E187" i="13"/>
  <c r="H185" i="13"/>
  <c r="E184" i="13"/>
  <c r="E183" i="13"/>
  <c r="E182" i="13"/>
  <c r="E180" i="13"/>
  <c r="E179" i="13"/>
  <c r="E178" i="13"/>
  <c r="H176" i="13"/>
  <c r="E175" i="13"/>
  <c r="E174" i="13"/>
  <c r="E173" i="13"/>
  <c r="E172" i="13"/>
  <c r="E170" i="13"/>
  <c r="E169" i="13"/>
  <c r="H167" i="13"/>
  <c r="E166" i="13"/>
  <c r="E165" i="13"/>
  <c r="E164" i="13"/>
  <c r="E163" i="13"/>
  <c r="E161" i="13"/>
  <c r="E160" i="13"/>
  <c r="E159" i="13"/>
  <c r="E158" i="13"/>
  <c r="H156" i="13"/>
  <c r="E155" i="13"/>
  <c r="E154" i="13"/>
  <c r="E153" i="13"/>
  <c r="E151" i="13"/>
  <c r="E150" i="13"/>
  <c r="H148" i="13"/>
  <c r="F148" i="13"/>
  <c r="E147" i="13"/>
  <c r="E146" i="13"/>
  <c r="E145" i="13"/>
  <c r="E143" i="13"/>
  <c r="E142" i="13"/>
  <c r="H140" i="13"/>
  <c r="E139" i="13"/>
  <c r="E137" i="13"/>
  <c r="E136" i="13"/>
  <c r="E134" i="13"/>
  <c r="E133" i="13"/>
  <c r="H131" i="13"/>
  <c r="F131" i="13"/>
  <c r="E130" i="13"/>
  <c r="E129" i="13"/>
  <c r="E124" i="13"/>
  <c r="E123" i="13"/>
  <c r="E122" i="13"/>
  <c r="E121" i="13"/>
  <c r="E120" i="13"/>
  <c r="E119" i="13"/>
  <c r="E117" i="13"/>
  <c r="E116" i="13"/>
  <c r="E115" i="13"/>
  <c r="E114" i="13"/>
  <c r="E113" i="13"/>
  <c r="E112" i="13"/>
  <c r="E111" i="13"/>
  <c r="E110" i="13"/>
  <c r="E109" i="13"/>
  <c r="E106" i="13"/>
  <c r="E105" i="13"/>
  <c r="E104" i="13"/>
  <c r="E100" i="13"/>
  <c r="E99" i="13"/>
  <c r="F97" i="13"/>
  <c r="E96" i="13"/>
  <c r="H94" i="13"/>
  <c r="G94" i="13"/>
  <c r="F94" i="13"/>
  <c r="E148" i="13" l="1"/>
  <c r="E236" i="13"/>
  <c r="E214" i="13"/>
  <c r="E200" i="13"/>
  <c r="E131" i="13"/>
  <c r="E269" i="13"/>
  <c r="E265" i="13"/>
  <c r="E287" i="13"/>
  <c r="E94" i="13"/>
  <c r="E97" i="13"/>
  <c r="F167" i="13"/>
  <c r="E167" i="13" s="1"/>
  <c r="F176" i="13"/>
  <c r="E176" i="13" s="1"/>
  <c r="E192" i="13"/>
  <c r="F140" i="13"/>
  <c r="E140" i="13" s="1"/>
  <c r="F185" i="13"/>
  <c r="E185" i="13" s="1"/>
  <c r="F207" i="13"/>
  <c r="E207" i="13" s="1"/>
  <c r="F243" i="13"/>
  <c r="E243" i="13" s="1"/>
  <c r="F156" i="13"/>
  <c r="E156" i="13" s="1"/>
  <c r="H315" i="13" l="1"/>
  <c r="G315" i="13"/>
  <c r="F315" i="13"/>
  <c r="G303" i="13"/>
  <c r="E303" i="13" l="1"/>
  <c r="E315" i="13"/>
  <c r="G320" i="13" l="1"/>
  <c r="F320" i="13"/>
  <c r="G319" i="13"/>
  <c r="F319" i="13"/>
  <c r="H318" i="13"/>
  <c r="G318" i="13"/>
  <c r="F318" i="13"/>
  <c r="H317" i="13"/>
  <c r="G317" i="13"/>
  <c r="F317" i="13"/>
  <c r="H316" i="13"/>
  <c r="G316" i="13"/>
  <c r="F316" i="13"/>
  <c r="H314" i="13"/>
  <c r="G314" i="13"/>
  <c r="F314" i="13"/>
  <c r="H313" i="13"/>
  <c r="G313" i="13"/>
  <c r="F313" i="13"/>
  <c r="H312" i="13"/>
  <c r="G312" i="13"/>
  <c r="F312" i="13"/>
  <c r="H311" i="13"/>
  <c r="G311" i="13"/>
  <c r="F311" i="13"/>
  <c r="H309" i="13"/>
  <c r="F309" i="13"/>
  <c r="H308" i="13"/>
  <c r="G308" i="13"/>
  <c r="F308" i="13"/>
  <c r="H307" i="13"/>
  <c r="G307" i="13"/>
  <c r="F307" i="13"/>
  <c r="H305" i="13"/>
  <c r="G305" i="13"/>
  <c r="F305" i="13"/>
  <c r="H304" i="13"/>
  <c r="G304" i="13"/>
  <c r="F304" i="13"/>
  <c r="E307" i="13" l="1"/>
  <c r="E317" i="13"/>
  <c r="E312" i="13"/>
  <c r="E305" i="13"/>
  <c r="E311" i="13"/>
  <c r="E319" i="13"/>
  <c r="E314" i="13"/>
  <c r="E316" i="13"/>
  <c r="E313" i="13"/>
  <c r="E304" i="13"/>
  <c r="E308" i="13"/>
  <c r="E320" i="13"/>
  <c r="E318" i="13"/>
  <c r="E309" i="13"/>
  <c r="H299" i="13" l="1"/>
  <c r="G299" i="13"/>
  <c r="F299" i="13"/>
  <c r="E299" i="13" l="1"/>
  <c r="E301" i="13" l="1"/>
  <c r="G301" i="13"/>
  <c r="H301" i="13" l="1"/>
  <c r="F301" i="13"/>
</calcChain>
</file>

<file path=xl/sharedStrings.xml><?xml version="1.0" encoding="utf-8"?>
<sst xmlns="http://schemas.openxmlformats.org/spreadsheetml/2006/main" count="720" uniqueCount="324">
  <si>
    <t>Iš viso</t>
  </si>
  <si>
    <t>Išlaidoms</t>
  </si>
  <si>
    <t>Iš jų:</t>
  </si>
  <si>
    <t>Administracijos direktoriaus rezervas</t>
  </si>
  <si>
    <t>Visagino savivaldybės tarybos</t>
  </si>
  <si>
    <t>Iš jų</t>
  </si>
  <si>
    <t>Eil. Nr.</t>
  </si>
  <si>
    <t>10</t>
  </si>
  <si>
    <t>„Atgimimo“ gimnazijos direktorius</t>
  </si>
  <si>
    <t>Lopšelio-darželio „Auksinis raktelis“ direktorius</t>
  </si>
  <si>
    <t>Lopšelio-darželio „Kūlverstukas“ direktorius</t>
  </si>
  <si>
    <t>Lopšelio-darželio „Gintarėlis“ direktorius</t>
  </si>
  <si>
    <t>Lopšelio-darželio „Ąžuoliukas“ direktorius</t>
  </si>
  <si>
    <t>Lopšelio-darželio „Auksinis gaidelis“ direktorius</t>
  </si>
  <si>
    <t>„Verdenės“ gimnazijos direktorius</t>
  </si>
  <si>
    <t>„Žiburio“ pagrindinės mokyklos direktorius</t>
  </si>
  <si>
    <t>Socialinių paslaugų centro direktorius</t>
  </si>
  <si>
    <t>Sporto centro direktorius</t>
  </si>
  <si>
    <t>Kultūros centro direktorius</t>
  </si>
  <si>
    <t>Viešosios bibliotekos direktorius</t>
  </si>
  <si>
    <t xml:space="preserve">Kontrolės ir audito tarnybos savivaldybės kontrolierius </t>
  </si>
  <si>
    <t>Visagino savivaldybės administracijos direktorius</t>
  </si>
  <si>
    <t>1.1.</t>
  </si>
  <si>
    <t>01</t>
  </si>
  <si>
    <t>06</t>
  </si>
  <si>
    <t>Asignavimų valdytojas</t>
  </si>
  <si>
    <t>02</t>
  </si>
  <si>
    <t>3.1.</t>
  </si>
  <si>
    <t>4.1.</t>
  </si>
  <si>
    <t>4.2.</t>
  </si>
  <si>
    <t>5.1.</t>
  </si>
  <si>
    <t>04</t>
  </si>
  <si>
    <t>03</t>
  </si>
  <si>
    <t>08</t>
  </si>
  <si>
    <t>07</t>
  </si>
  <si>
    <t>Savivaldybės valdymo tobulinimo programa</t>
  </si>
  <si>
    <t>Finansavimo šaltinis</t>
  </si>
  <si>
    <t>iš jų darbo užmokesčiui</t>
  </si>
  <si>
    <t>Turtui įsigyti</t>
  </si>
  <si>
    <t>D</t>
  </si>
  <si>
    <t>05</t>
  </si>
  <si>
    <t>09</t>
  </si>
  <si>
    <t>Švietimo paslaugų plėtros programa</t>
  </si>
  <si>
    <t xml:space="preserve"> Kūno kultūros ir sporto plėtros programa</t>
  </si>
  <si>
    <t>Gyventojų kultūrinio aktyvumo skatinimo ir identiteto stiprinimo programa</t>
  </si>
  <si>
    <t>Socialinės paramos įgyvendinimo programa</t>
  </si>
  <si>
    <t>Sveikatos apsaugos paslaugų kokybės gerinimo programa</t>
  </si>
  <si>
    <t>Aplinkos apsaugos programa</t>
  </si>
  <si>
    <t>Savivaldybės ekonominės plėtros programa</t>
  </si>
  <si>
    <t>Viešosios infrastruktūros plėtros programa</t>
  </si>
  <si>
    <t>MK</t>
  </si>
  <si>
    <t>SP</t>
  </si>
  <si>
    <t>3.2.</t>
  </si>
  <si>
    <t>3.3.</t>
  </si>
  <si>
    <t>3.4.</t>
  </si>
  <si>
    <t>4.3.</t>
  </si>
  <si>
    <t>5.2.</t>
  </si>
  <si>
    <t>5.3.</t>
  </si>
  <si>
    <t>5.4.</t>
  </si>
  <si>
    <t>6.1.</t>
  </si>
  <si>
    <t>6.2.</t>
  </si>
  <si>
    <t>6.3.</t>
  </si>
  <si>
    <t>6.4.</t>
  </si>
  <si>
    <t>7.1.</t>
  </si>
  <si>
    <t>7.2.</t>
  </si>
  <si>
    <t>7.3.</t>
  </si>
  <si>
    <t>7.4.</t>
  </si>
  <si>
    <t>8.1.</t>
  </si>
  <si>
    <t>8.2.</t>
  </si>
  <si>
    <t>8.3.</t>
  </si>
  <si>
    <t>8.4.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</si>
  <si>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</si>
  <si>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</si>
  <si>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</si>
  <si>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</si>
  <si>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</si>
  <si>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</si>
  <si>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</si>
  <si>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</si>
  <si>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</si>
  <si>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</si>
  <si>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</si>
  <si>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12.3.</t>
  </si>
  <si>
    <t>13.1.</t>
  </si>
  <si>
    <t>13.2.</t>
  </si>
  <si>
    <t>14.1.</t>
  </si>
  <si>
    <t>14.2.</t>
  </si>
  <si>
    <t>15.1.</t>
  </si>
  <si>
    <t>16.1.</t>
  </si>
  <si>
    <t>16.2.</t>
  </si>
  <si>
    <t>16.3.</t>
  </si>
  <si>
    <t>17.1.</t>
  </si>
  <si>
    <t>17.2.</t>
  </si>
  <si>
    <t>17.3.</t>
  </si>
  <si>
    <t>17.4.</t>
  </si>
  <si>
    <t>18.1.</t>
  </si>
  <si>
    <t>19.1.</t>
  </si>
  <si>
    <t>20.1.</t>
  </si>
  <si>
    <t>20.2.</t>
  </si>
  <si>
    <t>20.3.</t>
  </si>
  <si>
    <t>21.1.</t>
  </si>
  <si>
    <t>22.1.</t>
  </si>
  <si>
    <t>Programų kodas</t>
  </si>
  <si>
    <t>21.2.</t>
  </si>
  <si>
    <t>Kūrybos namų direktorius</t>
  </si>
  <si>
    <t>6.5.</t>
  </si>
  <si>
    <t>6.6.</t>
  </si>
  <si>
    <t>6.7.</t>
  </si>
  <si>
    <t>VK</t>
  </si>
  <si>
    <t>2.16.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</si>
  <si>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</si>
  <si>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</si>
  <si>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</si>
  <si>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</si>
  <si>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</si>
  <si>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</si>
  <si>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</si>
  <si>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</si>
  <si>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</si>
  <si>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</si>
  <si>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17.5.</t>
  </si>
  <si>
    <t>17.6.</t>
  </si>
  <si>
    <t>18.</t>
  </si>
  <si>
    <t>19.</t>
  </si>
  <si>
    <t>20.</t>
  </si>
  <si>
    <t>21.</t>
  </si>
  <si>
    <t>21.3.</t>
  </si>
  <si>
    <t>22.</t>
  </si>
  <si>
    <t>23.</t>
  </si>
  <si>
    <t>Bendruomeniškumo skatinimo programa</t>
  </si>
  <si>
    <t>SB</t>
  </si>
  <si>
    <t>Savivaldybės biudžeto lėšos</t>
  </si>
  <si>
    <t xml:space="preserve">Valstybinės (valstybės perduotos savivaldybėms) funkcijos </t>
  </si>
  <si>
    <t>2.17.</t>
  </si>
  <si>
    <t>2.18.</t>
  </si>
  <si>
    <t>Kūno kultūros ir sporto plėtros programa</t>
  </si>
  <si>
    <t>2.19.</t>
  </si>
  <si>
    <t>Rekreacijos paslaugų centro direktorius</t>
  </si>
  <si>
    <t>12.4.</t>
  </si>
  <si>
    <t>2.20.</t>
  </si>
  <si>
    <t>SD</t>
  </si>
  <si>
    <t>Č. Sasnausko menų mokyklos direktorius</t>
  </si>
  <si>
    <t>Apyvartos lėšos</t>
  </si>
  <si>
    <t>Iš jų: finansinių įsipareigojimų vykdymas (paskolų grąžinimas)</t>
  </si>
  <si>
    <t>24.</t>
  </si>
  <si>
    <t>IŠ VISO:</t>
  </si>
  <si>
    <t>Draugystės progimnazijos direktorius</t>
  </si>
  <si>
    <t>„Gerosios vilties“ progimnazijos direktorius</t>
  </si>
  <si>
    <t>2.1.</t>
  </si>
  <si>
    <t>2.2.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</si>
  <si>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</si>
  <si>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</si>
  <si>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</si>
  <si>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</si>
  <si>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</si>
  <si>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</si>
  <si>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</si>
  <si>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</si>
  <si>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</si>
  <si>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</si>
  <si>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</si>
  <si>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</si>
  <si>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Tūkst. Eur</t>
  </si>
  <si>
    <t>4.4.</t>
  </si>
  <si>
    <t>8.5.</t>
  </si>
  <si>
    <t>9.4.</t>
  </si>
  <si>
    <t>9.5.</t>
  </si>
  <si>
    <t>10.4.</t>
  </si>
  <si>
    <t>10.5.</t>
  </si>
  <si>
    <t>11.4.</t>
  </si>
  <si>
    <t>11.5.</t>
  </si>
  <si>
    <t>12.5.</t>
  </si>
  <si>
    <t>13.3.</t>
  </si>
  <si>
    <t>13.4.</t>
  </si>
  <si>
    <t>14.3.</t>
  </si>
  <si>
    <t>1.</t>
  </si>
  <si>
    <t>2.</t>
  </si>
  <si>
    <t>3.</t>
  </si>
  <si>
    <t>4.</t>
  </si>
  <si>
    <t>5.</t>
  </si>
  <si>
    <t>6.</t>
  </si>
  <si>
    <t>9.</t>
  </si>
  <si>
    <t>15.2.</t>
  </si>
  <si>
    <t>15.3.</t>
  </si>
  <si>
    <t>Valstybės investicijų 2017-2019 metų programoje numatytų kapitalo investicijoms finansuoti</t>
  </si>
  <si>
    <t>16.4.</t>
  </si>
  <si>
    <t>16.5.</t>
  </si>
  <si>
    <t>19.2.</t>
  </si>
  <si>
    <t>Specialios tikslinės dotacijos, kitos dotacijos ir lėšos iš kitų valdymo lygių</t>
  </si>
  <si>
    <t>Europos Sąjungos finansinės paramos lėšos</t>
  </si>
  <si>
    <t>ES</t>
  </si>
  <si>
    <t>13.5.</t>
  </si>
  <si>
    <t>14.4.</t>
  </si>
  <si>
    <t>21.4.</t>
  </si>
  <si>
    <t>20.4.</t>
  </si>
  <si>
    <t>20.5.</t>
  </si>
  <si>
    <t>14.5.</t>
  </si>
  <si>
    <t>19.3.</t>
  </si>
  <si>
    <t>Aplinkos apsaugos rėmimo specialiosios programos lėšos</t>
  </si>
  <si>
    <t>IŠ VISO ASIGNAVIMŲ (23-24)</t>
  </si>
  <si>
    <t>14.6.</t>
  </si>
  <si>
    <t>19.4.</t>
  </si>
  <si>
    <t>20.6.</t>
  </si>
  <si>
    <t>21.5.</t>
  </si>
  <si>
    <t>2.21.</t>
  </si>
  <si>
    <t>2.22.</t>
  </si>
  <si>
    <t>2.23.</t>
  </si>
  <si>
    <t>13.6.</t>
  </si>
  <si>
    <t>2.24.</t>
  </si>
  <si>
    <t>2.25.</t>
  </si>
  <si>
    <t>14.7.</t>
  </si>
  <si>
    <t>19.5.</t>
  </si>
  <si>
    <t xml:space="preserve">Švietimo pagalbos tarnybos direktorius </t>
  </si>
  <si>
    <t>2.26.</t>
  </si>
  <si>
    <t>Šeimos ir vaiko gerovės centro direktorius</t>
  </si>
  <si>
    <t>2.27.</t>
  </si>
  <si>
    <t>2.28.</t>
  </si>
  <si>
    <t>iš jų iš žemės realizavimo pajamų</t>
  </si>
  <si>
    <t>iš jų iš pastatų ir statinių realizavimo pajamų</t>
  </si>
  <si>
    <t>2.3.</t>
  </si>
  <si>
    <t>2019 m. vasario __ d. sprendimo Nr. TS-__</t>
  </si>
  <si>
    <t>Visagino savivaldybės 2019 m. biudžeto asignavimai pagal asignavimų valdytojus</t>
  </si>
  <si>
    <t>Ugdymo reikmėms finansuoti</t>
  </si>
  <si>
    <t>1 priedas</t>
  </si>
  <si>
    <t>VISAGINO SAVIVALDYBĖS 2019 METŲ BIUDŽETO PAJAMOS</t>
  </si>
  <si>
    <t>Pajamų rūšys</t>
  </si>
  <si>
    <t>Mokesčiai</t>
  </si>
  <si>
    <t xml:space="preserve">Gyventojų pajamų mokestis </t>
  </si>
  <si>
    <t>1.1.1.</t>
  </si>
  <si>
    <t>1.2.</t>
  </si>
  <si>
    <t>Turto mokesčiai</t>
  </si>
  <si>
    <t>1.2.1.</t>
  </si>
  <si>
    <t>Žemės mokestis</t>
  </si>
  <si>
    <t>1.2.2.</t>
  </si>
  <si>
    <t>Paveldimo turto mokestis</t>
  </si>
  <si>
    <t>1.2.3.</t>
  </si>
  <si>
    <t>Nekilnojamojo turto mokestis</t>
  </si>
  <si>
    <t>1.3.</t>
  </si>
  <si>
    <t>Prekių ir paslaugų mokesčiai</t>
  </si>
  <si>
    <t>1.3.1.</t>
  </si>
  <si>
    <t>Mokestis už aplinkos teršimą</t>
  </si>
  <si>
    <t>1.3.2.</t>
  </si>
  <si>
    <t>Valstybės rinkliavos</t>
  </si>
  <si>
    <t>1.3.3.</t>
  </si>
  <si>
    <t>Vietinės rinkliavos</t>
  </si>
  <si>
    <t>Dotacijos iš kitų valdžios sektoriaus subjektų</t>
  </si>
  <si>
    <t>Einamiesiems tikslams</t>
  </si>
  <si>
    <t>2.1.1.</t>
  </si>
  <si>
    <t>Speciali tikslinė dotacija - iš viso</t>
  </si>
  <si>
    <t>2.1.1.1.</t>
  </si>
  <si>
    <t>Valstybinėms (perduotoms savivaldybėms) funkcijoms atlikti, iš jų:</t>
  </si>
  <si>
    <t>duomenims Suteiktos valstybės pagalbos registrui teikti</t>
  </si>
  <si>
    <t>dalyvauti rengiant ir vykdant mobilizaciją, demobilizaciją, priimančios šalies paramą</t>
  </si>
  <si>
    <t>valstybinės kalbos vartojimo ir taisyklingumo kontrolei</t>
  </si>
  <si>
    <t>socialinėms išmokoms ir kompensacijoms skaičiuoti ir mokėti</t>
  </si>
  <si>
    <t>būsto nuomos ar išperkamosios būsto nuomos mokesčių dalies kompensacijoms</t>
  </si>
  <si>
    <t>socialinei paramai mokiniams</t>
  </si>
  <si>
    <t>socialinėms paslaugoms</t>
  </si>
  <si>
    <t>jaunimo teisių apsaugai</t>
  </si>
  <si>
    <t>savivaldybių patvirtintoms  užimtumo programoms įgyvendinti</t>
  </si>
  <si>
    <t>visuomenės sveikatos priežiūros funkcijoms vykdyti</t>
  </si>
  <si>
    <t>neveiksnių asmenų būklės peržiūrėjimui užtikrinti</t>
  </si>
  <si>
    <t>civilinės būklės aktams registruoti</t>
  </si>
  <si>
    <t>valstybės garantuojamai pirminei teisinei pagalbai teikti</t>
  </si>
  <si>
    <t>gyventojų registrui tvarkyti ir duomenims valstybės registrams teikti</t>
  </si>
  <si>
    <t>gyvenamosios vietos deklaravimo duomenų ir gyvenamosios vietos neturinčių asmenų apskaitos duomenims tvarkyti</t>
  </si>
  <si>
    <t>civilinei saugai</t>
  </si>
  <si>
    <t>savivaldybei priskirtai valstybinei žemei ir kitam valstybės turtui valdyti, naudoti ir disponuoti juo patikėjimo teise</t>
  </si>
  <si>
    <t>žemės ūkio funkcijoms atlikti</t>
  </si>
  <si>
    <t>savivaldybėm priskirtiems geodezijos ir kartografijos darbams (savivaldybių erdvinių duomenų rinkiniams tvarkyti) organizuoti ir vykdyti</t>
  </si>
  <si>
    <t>savivaldybėms priskirtiems archyviniams dokumentams tvarkyti</t>
  </si>
  <si>
    <t>2.1.1.2.</t>
  </si>
  <si>
    <t>2.1.1.3.</t>
  </si>
  <si>
    <t>Savivaldybių mokykloms (klasėms), skirtoms šalies (regiono) mokiniams, turintiems specialiųjų ugdymosi poreikių, išlaikyti</t>
  </si>
  <si>
    <t>2.1.1.4.</t>
  </si>
  <si>
    <t>Savivaldybių išlaidoms tarpinstitucinio bendradarbiavimo koordinatoriui išlaikyti</t>
  </si>
  <si>
    <t>Savivaldybėms vietinės reikšmės keliams (gatvėms) tiesti, taisyti, prižiūrėti ir saugaus eismo sąlygoms užtikrinti</t>
  </si>
  <si>
    <t>2.1.1.5.</t>
  </si>
  <si>
    <t>Valstybės biudžeto lėšos, skirtos mokytojams, dirbančioms pagal neformaliojo vaikų švietimo (išskyrus ikimokyklinio ir priešmokyklinio ugdymo) programas savivaldybės mokyklose, kurio yra priskirtos Lietuvos Respublikos švietimo įstatymo 41 straipsnio 13 dalies 2 punkte nurodytoms mokyklų grupėms ir kurių teisinė forma yra biudžetinė įstaiga, darbo apmokėjimui</t>
  </si>
  <si>
    <t>2.1.2.</t>
  </si>
  <si>
    <t>Dotacijos savivaldybėms iš Europos Sąjungos, kitos tarptautinės finansinės paramos ir bendrojo finansavimo lėšų einamiesiems tikslams</t>
  </si>
  <si>
    <t>iš jų projektui „Neformaliojo švietimo paslaugų plėtra“</t>
  </si>
  <si>
    <t>2.1.3.</t>
  </si>
  <si>
    <t>Valstybės biudžeto speciali tikslinė dotacija pagal 2014 -2020 metų Europos Sąjungos fondų investicijų veiksmų programą   įgyvendinamų projektų nuosavam indėliui užtikrinti</t>
  </si>
  <si>
    <t>Finansų ministerija</t>
  </si>
  <si>
    <t>Kitos dotacijos , iš jų:</t>
  </si>
  <si>
    <t>valstybės biudžeto lėšos, skirtos neformaliajam vaikų švietimui</t>
  </si>
  <si>
    <t>valstybės biudžeto lėšos, skirtos valstybės ir savivaldybių įstaigų darbuotojų darbo apmokėjimo įstatymui laipsniškai įgyvendinti</t>
  </si>
  <si>
    <t>valstybės biudžeto lėšos, skirtos išlaidoms, susijusioms su pedagoginių darbuotojų skaičiaus optimizavimu, apmokėti</t>
  </si>
  <si>
    <t>Kapitalui formuoti:</t>
  </si>
  <si>
    <t>2.2.1.</t>
  </si>
  <si>
    <t>Dotacijos savivaldybėms iš Europos Sąjungos, kitos tarptautinės finansinės paramos ir bendrojo finansavimo lėšų turtui įsigyti</t>
  </si>
  <si>
    <t>2.2.2.</t>
  </si>
  <si>
    <t>2.2.3.</t>
  </si>
  <si>
    <t>Lietuvos automobilių kelių direkcija prie Susisiekimo ministerijos (Savivaldybėms vietinės reikšmės keliams (gatvėms) tiesti, taisyti, prižiūrėti ir saugaus eismo sąlygoms užtikrinti)</t>
  </si>
  <si>
    <t>Kitos pajamos</t>
  </si>
  <si>
    <t>Turto pajamos</t>
  </si>
  <si>
    <t>3.1.1.</t>
  </si>
  <si>
    <t>Palūkanos už indėlius, depozitus ir sąskatų likučius</t>
  </si>
  <si>
    <t>3.1.2.</t>
  </si>
  <si>
    <t>Dividendai</t>
  </si>
  <si>
    <t xml:space="preserve">Nuomos mokestis už valstybinę žemę </t>
  </si>
  <si>
    <t>3.1.3.</t>
  </si>
  <si>
    <t>Mokestis už medžiojamųjų gyvūnų išteklius</t>
  </si>
  <si>
    <t>3.1.4.</t>
  </si>
  <si>
    <t>Kiti mokesčiai už valstybinius gamtos išteklius</t>
  </si>
  <si>
    <t>Pajamos už prekes ir paslaugas</t>
  </si>
  <si>
    <t>3.2.1.</t>
  </si>
  <si>
    <t>Biudžetinių įstaigų pajamos už prekės ir paslaugas</t>
  </si>
  <si>
    <t>3.2.2.</t>
  </si>
  <si>
    <t>Pajamos už ilgalaikio ir trumpalaikio materialiojo turto nuomą</t>
  </si>
  <si>
    <t>3.2.3.</t>
  </si>
  <si>
    <t>Įmokos už išlaikymą švietimo, socialinės apsaugos ir kitose įstaigose</t>
  </si>
  <si>
    <t>3.2.4.</t>
  </si>
  <si>
    <t>3.2.5.</t>
  </si>
  <si>
    <t>Kitos neišvardintos pajamos</t>
  </si>
  <si>
    <t>Materialiojo ir nematerialiojo turto realizavimo pajamos</t>
  </si>
  <si>
    <t>Žemės realizavimo pajamos</t>
  </si>
  <si>
    <t>Pastatų ir statinių realizavimo pajamos</t>
  </si>
  <si>
    <t>IŠ VISO PAJAMŲ</t>
  </si>
  <si>
    <t>Praejusių metų nepanaudota pajamų dalis (apyvartinės lėšos)</t>
  </si>
  <si>
    <t>Iš viso su praejusių metų nepanaudotomis lėšomis</t>
  </si>
  <si>
    <t>Finansinių įsipareigojimų prisiėmimo (skolinimosi) pajamos</t>
  </si>
  <si>
    <t>2.1.4.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</si>
</sst>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1" x14ac:knownFonts="1">
    <font>
      <sz val="10"/>
      <name val="Arial"/>
      <charset val="186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protection locked="0"/>
    </xf>
    <xf numFmtId="0" fontId="15" fillId="0" borderId="0">
      <protection locked="0"/>
    </xf>
  </cellStyleXfs>
  <cellXfs count="359">
    <xf numFmtId="0" fontId="0" fillId="0" borderId="0" xfId="0">
      <protection locked="0"/>
    </xf>
    <xf numFmtId="0" fontId="1" fillId="0" borderId="0" xfId="0" applyFont="1">
      <protection locked="0"/>
    </xf>
    <xf numFmtId="0" fontId="3" fillId="0" borderId="0" xfId="0" applyFont="1" applyAlignment="1">
      <alignment horizontal="center" vertical="center" wrapText="1"/>
      <protection locked="0"/>
    </xf>
    <xf numFmtId="0" fontId="3" fillId="0" borderId="0" xfId="0" applyFont="1" applyAlignment="1">
      <alignment horizontal="center" vertical="center"/>
      <protection locked="0"/>
    </xf>
    <xf numFmtId="0" fontId="3" fillId="0" borderId="0" xfId="0" applyFont="1">
      <protection locked="0"/>
    </xf>
    <xf numFmtId="0" fontId="5" fillId="0" borderId="0" xfId="0" applyFont="1">
      <protection locked="0"/>
    </xf>
    <xf numFmtId="0" fontId="1" fillId="0" borderId="0" xfId="0" applyFont="1" applyAlignment="1">
      <protection locked="0"/>
    </xf>
    <xf numFmtId="0" fontId="3" fillId="0" borderId="0" xfId="0" applyFont="1" applyAlignment="1">
      <protection locked="0"/>
    </xf>
    <xf numFmtId="164" fontId="4" fillId="0" borderId="1" xfId="0" applyNumberFormat="1" applyFont="1" applyBorder="1" applyAlignment="1">
      <alignment wrapText="1"/>
      <protection locked="0"/>
    </xf>
    <xf numFmtId="165" fontId="1" fillId="0" borderId="0" xfId="0" applyNumberFormat="1" applyFont="1">
      <protection locked="0"/>
    </xf>
    <xf numFmtId="0" fontId="1" fillId="0" borderId="0" xfId="0" applyFont="1" applyAlignment="1">
      <alignment horizontal="center"/>
      <protection locked="0"/>
    </xf>
    <xf numFmtId="164" fontId="1" fillId="0" borderId="0" xfId="0" applyNumberFormat="1" applyFont="1">
      <protection locked="0"/>
    </xf>
    <xf numFmtId="0" fontId="1" fillId="0" borderId="0" xfId="0" applyFont="1" applyAlignment="1">
      <alignment horizontal="center" vertical="center"/>
      <protection locked="0"/>
    </xf>
    <xf numFmtId="165" fontId="1" fillId="0" borderId="0" xfId="0" applyNumberFormat="1" applyFont="1" applyAlignment="1">
      <alignment horizontal="right"/>
      <protection locked="0"/>
    </xf>
    <xf numFmtId="164" fontId="4" fillId="0" borderId="5" xfId="0" applyNumberFormat="1" applyFont="1" applyBorder="1" applyAlignment="1">
      <alignment wrapText="1"/>
      <protection locked="0"/>
    </xf>
    <xf numFmtId="0" fontId="1" fillId="0" borderId="1" xfId="0" applyFont="1" applyBorder="1" applyAlignment="1">
      <alignment vertical="top"/>
      <protection locked="0"/>
    </xf>
    <xf numFmtId="1" fontId="1" fillId="0" borderId="7" xfId="0" applyNumberFormat="1" applyFont="1" applyBorder="1" applyAlignment="1">
      <alignment horizontal="center" vertical="center" wrapText="1"/>
      <protection locked="0"/>
    </xf>
    <xf numFmtId="0" fontId="5" fillId="0" borderId="42" xfId="0" applyFont="1" applyBorder="1" applyAlignment="1">
      <alignment horizontal="center"/>
      <protection locked="0"/>
    </xf>
    <xf numFmtId="164" fontId="5" fillId="0" borderId="39" xfId="0" applyNumberFormat="1" applyFont="1" applyBorder="1" applyAlignment="1">
      <protection locked="0"/>
    </xf>
    <xf numFmtId="164" fontId="5" fillId="0" borderId="39" xfId="0" applyNumberFormat="1" applyFont="1" applyBorder="1" applyAlignment="1">
      <alignment horizontal="center"/>
      <protection locked="0"/>
    </xf>
    <xf numFmtId="0" fontId="1" fillId="0" borderId="39" xfId="0" applyFont="1" applyBorder="1" applyAlignment="1">
      <protection locked="0"/>
    </xf>
    <xf numFmtId="0" fontId="1" fillId="0" borderId="6" xfId="0" applyFont="1" applyBorder="1" applyAlignment="1">
      <protection locked="0"/>
    </xf>
    <xf numFmtId="0" fontId="1" fillId="0" borderId="1" xfId="0" applyFont="1" applyBorder="1" applyAlignment="1">
      <protection locked="0"/>
    </xf>
    <xf numFmtId="0" fontId="1" fillId="0" borderId="16" xfId="0" applyFont="1" applyBorder="1" applyAlignment="1">
      <protection locked="0"/>
    </xf>
    <xf numFmtId="0" fontId="1" fillId="0" borderId="16" xfId="0" applyFont="1" applyBorder="1" applyAlignment="1">
      <alignment wrapText="1"/>
      <protection locked="0"/>
    </xf>
    <xf numFmtId="0" fontId="1" fillId="0" borderId="5" xfId="0" applyFont="1" applyBorder="1" applyAlignment="1">
      <protection locked="0"/>
    </xf>
    <xf numFmtId="0" fontId="1" fillId="0" borderId="30" xfId="0" applyFont="1" applyBorder="1" applyAlignment="1">
      <protection locked="0"/>
    </xf>
    <xf numFmtId="0" fontId="1" fillId="0" borderId="44" xfId="0" applyFont="1" applyBorder="1" applyAlignment="1">
      <alignment horizontal="center" vertical="center"/>
      <protection locked="0"/>
    </xf>
    <xf numFmtId="165" fontId="1" fillId="0" borderId="44" xfId="0" applyNumberFormat="1" applyFont="1" applyBorder="1">
      <protection locked="0"/>
    </xf>
    <xf numFmtId="164" fontId="10" fillId="0" borderId="3" xfId="0" applyNumberFormat="1" applyFont="1" applyFill="1" applyBorder="1" applyAlignment="1">
      <alignment wrapText="1"/>
      <protection locked="0"/>
    </xf>
    <xf numFmtId="49" fontId="4" fillId="0" borderId="5" xfId="0" applyNumberFormat="1" applyFont="1" applyFill="1" applyBorder="1" applyAlignment="1">
      <alignment horizontal="center"/>
      <protection locked="0"/>
    </xf>
    <xf numFmtId="49" fontId="4" fillId="0" borderId="1" xfId="0" applyNumberFormat="1" applyFont="1" applyFill="1" applyBorder="1" applyAlignment="1">
      <alignment horizontal="center" wrapText="1"/>
      <protection locked="0"/>
    </xf>
    <xf numFmtId="0" fontId="4" fillId="0" borderId="16" xfId="0" applyFont="1" applyBorder="1" applyAlignment="1">
      <protection locked="0"/>
    </xf>
    <xf numFmtId="165" fontId="2" fillId="0" borderId="0" xfId="0" applyNumberFormat="1" applyFont="1" applyAlignment="1">
      <alignment horizontal="center"/>
      <protection locked="0"/>
    </xf>
    <xf numFmtId="0" fontId="1" fillId="0" borderId="1" xfId="0" applyFont="1" applyBorder="1" applyAlignment="1">
      <alignment horizontal="center"/>
      <protection locked="0"/>
    </xf>
    <xf numFmtId="49" fontId="1" fillId="0" borderId="14" xfId="0" applyNumberFormat="1" applyFont="1" applyFill="1" applyBorder="1" applyAlignment="1">
      <alignment horizontal="center"/>
      <protection locked="0"/>
    </xf>
    <xf numFmtId="0" fontId="1" fillId="0" borderId="1" xfId="0" applyFont="1" applyBorder="1" applyAlignment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/>
      <protection locked="0"/>
    </xf>
    <xf numFmtId="1" fontId="1" fillId="0" borderId="6" xfId="0" applyNumberFormat="1" applyFont="1" applyBorder="1" applyAlignment="1">
      <alignment horizontal="center" vertical="center" wrapText="1"/>
      <protection locked="0"/>
    </xf>
    <xf numFmtId="1" fontId="1" fillId="0" borderId="4" xfId="0" applyNumberFormat="1" applyFont="1" applyBorder="1" applyAlignment="1">
      <alignment horizontal="center" vertical="center"/>
      <protection locked="0"/>
    </xf>
    <xf numFmtId="1" fontId="1" fillId="0" borderId="11" xfId="0" applyNumberFormat="1" applyFont="1" applyBorder="1" applyAlignment="1">
      <alignment horizontal="center" vertical="center"/>
      <protection locked="0"/>
    </xf>
    <xf numFmtId="1" fontId="1" fillId="0" borderId="8" xfId="0" applyNumberFormat="1" applyFont="1" applyBorder="1" applyAlignment="1">
      <alignment horizontal="center" vertical="center"/>
      <protection locked="0"/>
    </xf>
    <xf numFmtId="0" fontId="1" fillId="0" borderId="14" xfId="0" applyFont="1" applyBorder="1" applyAlignment="1">
      <alignment horizontal="center" wrapText="1"/>
      <protection locked="0"/>
    </xf>
    <xf numFmtId="164" fontId="5" fillId="0" borderId="1" xfId="0" applyNumberFormat="1" applyFont="1" applyBorder="1" applyAlignment="1">
      <alignment wrapText="1"/>
      <protection locked="0"/>
    </xf>
    <xf numFmtId="49" fontId="5" fillId="0" borderId="5" xfId="0" applyNumberFormat="1" applyFont="1" applyBorder="1" applyAlignment="1">
      <alignment horizontal="center"/>
      <protection locked="0"/>
    </xf>
    <xf numFmtId="49" fontId="4" fillId="0" borderId="5" xfId="0" applyNumberFormat="1" applyFont="1" applyBorder="1" applyAlignment="1">
      <alignment horizontal="center"/>
      <protection locked="0"/>
    </xf>
    <xf numFmtId="0" fontId="1" fillId="0" borderId="5" xfId="0" applyFont="1" applyBorder="1" applyAlignment="1">
      <alignment horizontal="center" wrapText="1"/>
      <protection locked="0"/>
    </xf>
    <xf numFmtId="164" fontId="10" fillId="0" borderId="1" xfId="0" applyNumberFormat="1" applyFont="1" applyBorder="1" applyAlignment="1">
      <alignment wrapText="1"/>
      <protection locked="0"/>
    </xf>
    <xf numFmtId="0" fontId="1" fillId="0" borderId="14" xfId="0" applyFont="1" applyBorder="1" applyAlignment="1">
      <alignment horizontal="center"/>
      <protection locked="0"/>
    </xf>
    <xf numFmtId="164" fontId="5" fillId="0" borderId="5" xfId="0" applyNumberFormat="1" applyFont="1" applyBorder="1" applyAlignment="1">
      <alignment wrapText="1"/>
      <protection locked="0"/>
    </xf>
    <xf numFmtId="0" fontId="1" fillId="0" borderId="5" xfId="0" applyFont="1" applyBorder="1" applyAlignment="1">
      <alignment horizontal="center"/>
      <protection locked="0"/>
    </xf>
    <xf numFmtId="49" fontId="4" fillId="3" borderId="5" xfId="0" applyNumberFormat="1" applyFont="1" applyFill="1" applyBorder="1" applyAlignment="1">
      <alignment horizontal="center"/>
      <protection locked="0"/>
    </xf>
    <xf numFmtId="49" fontId="1" fillId="0" borderId="14" xfId="0" applyNumberFormat="1" applyFont="1" applyBorder="1" applyAlignment="1">
      <alignment horizontal="center"/>
      <protection locked="0"/>
    </xf>
    <xf numFmtId="164" fontId="10" fillId="0" borderId="3" xfId="0" applyNumberFormat="1" applyFont="1" applyBorder="1" applyAlignment="1">
      <alignment wrapText="1"/>
      <protection locked="0"/>
    </xf>
    <xf numFmtId="49" fontId="4" fillId="0" borderId="5" xfId="0" applyNumberFormat="1" applyFont="1" applyBorder="1" applyAlignment="1">
      <alignment horizontal="center" wrapText="1"/>
      <protection locked="0"/>
    </xf>
    <xf numFmtId="0" fontId="1" fillId="0" borderId="3" xfId="0" applyFont="1" applyBorder="1" applyAlignment="1">
      <alignment horizontal="center"/>
      <protection locked="0"/>
    </xf>
    <xf numFmtId="164" fontId="5" fillId="0" borderId="3" xfId="0" applyNumberFormat="1" applyFont="1" applyBorder="1" applyAlignment="1">
      <alignment wrapText="1"/>
      <protection locked="0"/>
    </xf>
    <xf numFmtId="0" fontId="3" fillId="0" borderId="3" xfId="0" applyFont="1" applyBorder="1" applyAlignment="1">
      <alignment horizontal="center"/>
      <protection locked="0"/>
    </xf>
    <xf numFmtId="49" fontId="4" fillId="0" borderId="1" xfId="0" applyNumberFormat="1" applyFont="1" applyBorder="1" applyAlignment="1">
      <alignment horizontal="center" wrapText="1"/>
      <protection locked="0"/>
    </xf>
    <xf numFmtId="164" fontId="10" fillId="0" borderId="14" xfId="0" applyNumberFormat="1" applyFont="1" applyBorder="1" applyAlignment="1">
      <alignment horizontal="left" wrapText="1"/>
      <protection locked="0"/>
    </xf>
    <xf numFmtId="49" fontId="5" fillId="0" borderId="1" xfId="0" applyNumberFormat="1" applyFont="1" applyBorder="1" applyAlignment="1">
      <alignment horizontal="center" wrapText="1"/>
      <protection locked="0"/>
    </xf>
    <xf numFmtId="0" fontId="1" fillId="0" borderId="13" xfId="0" applyFont="1" applyBorder="1" applyAlignment="1">
      <alignment horizontal="center"/>
      <protection locked="0"/>
    </xf>
    <xf numFmtId="0" fontId="3" fillId="0" borderId="1" xfId="0" applyFont="1" applyBorder="1" applyAlignment="1">
      <alignment horizontal="center"/>
      <protection locked="0"/>
    </xf>
    <xf numFmtId="49" fontId="1" fillId="0" borderId="3" xfId="0" applyNumberFormat="1" applyFont="1" applyBorder="1" applyAlignment="1">
      <alignment horizontal="center"/>
      <protection locked="0"/>
    </xf>
    <xf numFmtId="164" fontId="10" fillId="0" borderId="3" xfId="0" applyNumberFormat="1" applyFont="1" applyBorder="1" applyAlignment="1">
      <alignment horizontal="left" wrapText="1"/>
      <protection locked="0"/>
    </xf>
    <xf numFmtId="164" fontId="5" fillId="0" borderId="15" xfId="0" applyNumberFormat="1" applyFont="1" applyBorder="1" applyAlignment="1">
      <alignment wrapText="1"/>
      <protection locked="0"/>
    </xf>
    <xf numFmtId="49" fontId="4" fillId="0" borderId="3" xfId="0" applyNumberFormat="1" applyFont="1" applyBorder="1" applyAlignment="1">
      <alignment horizontal="center"/>
      <protection locked="0"/>
    </xf>
    <xf numFmtId="164" fontId="5" fillId="0" borderId="1" xfId="0" applyNumberFormat="1" applyFont="1" applyBorder="1" applyAlignment="1">
      <alignment horizontal="left" wrapText="1"/>
      <protection locked="0"/>
    </xf>
    <xf numFmtId="49" fontId="4" fillId="0" borderId="13" xfId="0" applyNumberFormat="1" applyFont="1" applyBorder="1" applyAlignment="1">
      <alignment horizontal="center"/>
      <protection locked="0"/>
    </xf>
    <xf numFmtId="164" fontId="10" fillId="0" borderId="13" xfId="0" applyNumberFormat="1" applyFont="1" applyBorder="1" applyAlignment="1">
      <alignment horizontal="left" wrapText="1"/>
      <protection locked="0"/>
    </xf>
    <xf numFmtId="49" fontId="4" fillId="0" borderId="46" xfId="0" applyNumberFormat="1" applyFont="1" applyBorder="1" applyAlignment="1">
      <alignment horizontal="center"/>
      <protection locked="0"/>
    </xf>
    <xf numFmtId="0" fontId="3" fillId="0" borderId="13" xfId="0" applyFont="1" applyBorder="1" applyAlignment="1">
      <alignment horizontal="center"/>
      <protection locked="0"/>
    </xf>
    <xf numFmtId="49" fontId="4" fillId="0" borderId="15" xfId="0" applyNumberFormat="1" applyFont="1" applyBorder="1" applyAlignment="1">
      <alignment horizontal="center" wrapText="1"/>
      <protection locked="0"/>
    </xf>
    <xf numFmtId="49" fontId="1" fillId="0" borderId="13" xfId="0" applyNumberFormat="1" applyFont="1" applyBorder="1" applyAlignment="1">
      <alignment horizontal="center"/>
      <protection locked="0"/>
    </xf>
    <xf numFmtId="164" fontId="10" fillId="0" borderId="15" xfId="0" applyNumberFormat="1" applyFont="1" applyBorder="1" applyAlignment="1">
      <alignment wrapText="1"/>
      <protection locked="0"/>
    </xf>
    <xf numFmtId="0" fontId="3" fillId="0" borderId="39" xfId="0" applyFont="1" applyBorder="1" applyAlignment="1">
      <protection locked="0"/>
    </xf>
    <xf numFmtId="0" fontId="5" fillId="0" borderId="40" xfId="0" applyFont="1" applyBorder="1" applyAlignment="1">
      <alignment wrapText="1"/>
      <protection locked="0"/>
    </xf>
    <xf numFmtId="0" fontId="11" fillId="0" borderId="39" xfId="0" applyFont="1" applyBorder="1" applyAlignment="1">
      <alignment horizontal="center"/>
      <protection locked="0"/>
    </xf>
    <xf numFmtId="164" fontId="10" fillId="0" borderId="16" xfId="0" applyNumberFormat="1" applyFont="1" applyBorder="1" applyAlignment="1">
      <alignment wrapText="1"/>
      <protection locked="0"/>
    </xf>
    <xf numFmtId="0" fontId="10" fillId="0" borderId="16" xfId="0" applyFont="1" applyBorder="1" applyAlignment="1">
      <protection locked="0"/>
    </xf>
    <xf numFmtId="0" fontId="10" fillId="0" borderId="16" xfId="0" applyFont="1" applyBorder="1" applyAlignment="1">
      <alignment wrapText="1"/>
      <protection locked="0"/>
    </xf>
    <xf numFmtId="0" fontId="10" fillId="0" borderId="36" xfId="0" applyFont="1" applyBorder="1" applyAlignment="1">
      <protection locked="0"/>
    </xf>
    <xf numFmtId="0" fontId="3" fillId="0" borderId="40" xfId="0" applyFont="1" applyBorder="1" applyAlignment="1">
      <alignment horizontal="center"/>
      <protection locked="0"/>
    </xf>
    <xf numFmtId="0" fontId="11" fillId="0" borderId="40" xfId="0" applyFont="1" applyBorder="1" applyAlignment="1">
      <alignment horizontal="center"/>
      <protection locked="0"/>
    </xf>
    <xf numFmtId="0" fontId="1" fillId="0" borderId="53" xfId="0" applyFont="1" applyBorder="1" applyAlignment="1">
      <alignment horizontal="center" vertical="center"/>
      <protection locked="0"/>
    </xf>
    <xf numFmtId="0" fontId="1" fillId="0" borderId="38" xfId="0" applyFont="1" applyBorder="1" applyAlignment="1">
      <protection locked="0"/>
    </xf>
    <xf numFmtId="0" fontId="5" fillId="0" borderId="39" xfId="0" applyFont="1" applyBorder="1" applyAlignment="1">
      <alignment horizontal="right"/>
      <protection locked="0"/>
    </xf>
    <xf numFmtId="0" fontId="1" fillId="0" borderId="41" xfId="0" applyFont="1" applyBorder="1" applyAlignment="1">
      <alignment horizontal="left"/>
      <protection locked="0"/>
    </xf>
    <xf numFmtId="164" fontId="5" fillId="0" borderId="40" xfId="0" applyNumberFormat="1" applyFont="1" applyBorder="1" applyAlignment="1">
      <alignment horizontal="center"/>
      <protection locked="0"/>
    </xf>
    <xf numFmtId="0" fontId="1" fillId="0" borderId="15" xfId="0" applyFont="1" applyBorder="1" applyAlignment="1">
      <protection locked="0"/>
    </xf>
    <xf numFmtId="0" fontId="1" fillId="0" borderId="51" xfId="0" applyFont="1" applyBorder="1" applyAlignment="1">
      <protection locked="0"/>
    </xf>
    <xf numFmtId="0" fontId="4" fillId="0" borderId="38" xfId="0" applyFont="1" applyBorder="1" applyAlignment="1">
      <protection locked="0"/>
    </xf>
    <xf numFmtId="0" fontId="4" fillId="0" borderId="29" xfId="0" applyFont="1" applyBorder="1" applyAlignment="1">
      <alignment horizontal="right"/>
      <protection locked="0"/>
    </xf>
    <xf numFmtId="0" fontId="1" fillId="0" borderId="28" xfId="0" applyFont="1" applyBorder="1" applyAlignment="1">
      <alignment horizontal="center"/>
      <protection locked="0"/>
    </xf>
    <xf numFmtId="0" fontId="1" fillId="0" borderId="29" xfId="0" applyFont="1" applyBorder="1" applyAlignment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 vertical="center"/>
    </xf>
    <xf numFmtId="165" fontId="7" fillId="0" borderId="20" xfId="0" applyNumberFormat="1" applyFont="1" applyBorder="1" applyAlignment="1" applyProtection="1">
      <alignment horizontal="center" vertical="center"/>
    </xf>
    <xf numFmtId="165" fontId="7" fillId="0" borderId="21" xfId="0" applyNumberFormat="1" applyFont="1" applyBorder="1" applyAlignment="1" applyProtection="1">
      <alignment horizontal="center" vertical="center"/>
    </xf>
    <xf numFmtId="165" fontId="7" fillId="0" borderId="22" xfId="0" applyNumberFormat="1" applyFont="1" applyBorder="1" applyAlignment="1" applyProtection="1">
      <alignment horizontal="center" vertical="center"/>
    </xf>
    <xf numFmtId="165" fontId="7" fillId="0" borderId="13" xfId="0" applyNumberFormat="1" applyFont="1" applyBorder="1" applyAlignment="1" applyProtection="1">
      <alignment horizontal="center" vertical="center"/>
    </xf>
    <xf numFmtId="165" fontId="7" fillId="0" borderId="52" xfId="0" applyNumberFormat="1" applyFont="1" applyBorder="1" applyAlignment="1" applyProtection="1">
      <alignment horizontal="center" vertical="center"/>
    </xf>
    <xf numFmtId="165" fontId="7" fillId="0" borderId="50" xfId="0" applyNumberFormat="1" applyFont="1" applyBorder="1" applyAlignment="1" applyProtection="1">
      <alignment horizontal="center" vertical="center"/>
    </xf>
    <xf numFmtId="165" fontId="7" fillId="0" borderId="34" xfId="0" applyNumberFormat="1" applyFont="1" applyBorder="1" applyAlignment="1" applyProtection="1">
      <alignment horizontal="center" vertical="center"/>
    </xf>
    <xf numFmtId="165" fontId="7" fillId="0" borderId="42" xfId="0" applyNumberFormat="1" applyFont="1" applyBorder="1" applyAlignment="1" applyProtection="1">
      <alignment horizontal="center" vertical="center"/>
    </xf>
    <xf numFmtId="165" fontId="7" fillId="0" borderId="56" xfId="0" applyNumberFormat="1" applyFont="1" applyBorder="1" applyAlignment="1" applyProtection="1">
      <alignment horizontal="center" vertical="center"/>
    </xf>
    <xf numFmtId="165" fontId="7" fillId="0" borderId="43" xfId="0" applyNumberFormat="1" applyFont="1" applyBorder="1" applyAlignment="1" applyProtection="1">
      <alignment horizontal="center" vertical="center"/>
    </xf>
    <xf numFmtId="165" fontId="7" fillId="0" borderId="47" xfId="0" applyNumberFormat="1" applyFont="1" applyBorder="1" applyAlignment="1" applyProtection="1">
      <alignment horizontal="center" vertical="center"/>
    </xf>
    <xf numFmtId="165" fontId="7" fillId="0" borderId="14" xfId="0" applyNumberFormat="1" applyFont="1" applyBorder="1" applyAlignment="1" applyProtection="1">
      <alignment horizontal="center" vertical="center"/>
    </xf>
    <xf numFmtId="165" fontId="7" fillId="0" borderId="17" xfId="0" applyNumberFormat="1" applyFont="1" applyBorder="1" applyAlignment="1" applyProtection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/>
    </xf>
    <xf numFmtId="165" fontId="7" fillId="0" borderId="19" xfId="0" applyNumberFormat="1" applyFont="1" applyBorder="1" applyAlignment="1" applyProtection="1">
      <alignment horizontal="center" vertical="center"/>
    </xf>
    <xf numFmtId="165" fontId="7" fillId="0" borderId="4" xfId="0" applyNumberFormat="1" applyFont="1" applyBorder="1" applyAlignment="1" applyProtection="1">
      <alignment horizontal="center" vertical="center"/>
    </xf>
    <xf numFmtId="165" fontId="7" fillId="0" borderId="11" xfId="0" applyNumberFormat="1" applyFont="1" applyBorder="1" applyAlignment="1" applyProtection="1">
      <alignment horizontal="center" vertical="center"/>
    </xf>
    <xf numFmtId="165" fontId="7" fillId="0" borderId="8" xfId="0" applyNumberFormat="1" applyFont="1" applyBorder="1" applyAlignment="1" applyProtection="1">
      <alignment horizontal="center" vertical="center"/>
    </xf>
    <xf numFmtId="165" fontId="7" fillId="0" borderId="7" xfId="0" applyNumberFormat="1" applyFont="1" applyBorder="1" applyAlignment="1" applyProtection="1">
      <alignment horizontal="center" vertical="center"/>
    </xf>
    <xf numFmtId="165" fontId="7" fillId="0" borderId="9" xfId="0" applyNumberFormat="1" applyFont="1" applyBorder="1" applyAlignment="1" applyProtection="1">
      <alignment horizontal="center" vertical="center"/>
    </xf>
    <xf numFmtId="165" fontId="7" fillId="0" borderId="35" xfId="0" applyNumberFormat="1" applyFont="1" applyBorder="1" applyAlignment="1" applyProtection="1">
      <alignment horizontal="center" vertical="center"/>
    </xf>
    <xf numFmtId="165" fontId="7" fillId="0" borderId="10" xfId="0" applyNumberFormat="1" applyFont="1" applyBorder="1" applyAlignment="1" applyProtection="1">
      <alignment horizontal="center" vertical="center"/>
    </xf>
    <xf numFmtId="165" fontId="7" fillId="0" borderId="12" xfId="0" applyNumberFormat="1" applyFont="1" applyBorder="1" applyAlignment="1" applyProtection="1">
      <alignment horizontal="center" vertical="center"/>
    </xf>
    <xf numFmtId="49" fontId="8" fillId="0" borderId="5" xfId="0" applyNumberFormat="1" applyFont="1" applyBorder="1" applyAlignment="1">
      <alignment horizontal="center"/>
      <protection locked="0"/>
    </xf>
    <xf numFmtId="165" fontId="8" fillId="0" borderId="3" xfId="0" applyNumberFormat="1" applyFont="1" applyBorder="1" applyAlignment="1" applyProtection="1">
      <alignment horizontal="center" vertical="center"/>
    </xf>
    <xf numFmtId="165" fontId="8" fillId="0" borderId="20" xfId="0" applyNumberFormat="1" applyFont="1" applyBorder="1" applyAlignment="1" applyProtection="1">
      <alignment horizontal="center" vertical="center"/>
    </xf>
    <xf numFmtId="165" fontId="8" fillId="0" borderId="21" xfId="0" applyNumberFormat="1" applyFont="1" applyBorder="1" applyAlignment="1" applyProtection="1">
      <alignment horizontal="center" vertical="center"/>
    </xf>
    <xf numFmtId="165" fontId="8" fillId="0" borderId="22" xfId="0" applyNumberFormat="1" applyFont="1" applyBorder="1" applyAlignment="1" applyProtection="1">
      <alignment horizontal="center" vertical="center"/>
    </xf>
    <xf numFmtId="165" fontId="8" fillId="0" borderId="42" xfId="0" applyNumberFormat="1" applyFont="1" applyBorder="1" applyAlignment="1" applyProtection="1">
      <alignment horizontal="center" vertical="center"/>
    </xf>
    <xf numFmtId="165" fontId="8" fillId="0" borderId="56" xfId="0" applyNumberFormat="1" applyFont="1" applyBorder="1" applyAlignment="1" applyProtection="1">
      <alignment horizontal="center" vertical="center"/>
    </xf>
    <xf numFmtId="165" fontId="8" fillId="0" borderId="43" xfId="0" applyNumberFormat="1" applyFont="1" applyBorder="1" applyAlignment="1" applyProtection="1">
      <alignment horizontal="center" vertical="center"/>
    </xf>
    <xf numFmtId="165" fontId="8" fillId="0" borderId="47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5" fontId="12" fillId="0" borderId="20" xfId="0" applyNumberFormat="1" applyFont="1" applyBorder="1" applyAlignment="1" applyProtection="1">
      <alignment horizontal="center" vertical="center"/>
    </xf>
    <xf numFmtId="165" fontId="12" fillId="0" borderId="21" xfId="0" applyNumberFormat="1" applyFont="1" applyBorder="1" applyAlignment="1" applyProtection="1">
      <alignment horizontal="center" vertical="center"/>
    </xf>
    <xf numFmtId="165" fontId="12" fillId="0" borderId="42" xfId="0" applyNumberFormat="1" applyFont="1" applyBorder="1" applyAlignment="1" applyProtection="1">
      <alignment horizontal="center" vertical="center"/>
    </xf>
    <xf numFmtId="165" fontId="12" fillId="0" borderId="56" xfId="0" applyNumberFormat="1" applyFont="1" applyBorder="1" applyAlignment="1" applyProtection="1">
      <alignment horizontal="center" vertical="center"/>
    </xf>
    <xf numFmtId="165" fontId="12" fillId="0" borderId="43" xfId="0" applyNumberFormat="1" applyFont="1" applyBorder="1" applyAlignment="1" applyProtection="1">
      <alignment horizontal="center" vertical="center"/>
    </xf>
    <xf numFmtId="165" fontId="12" fillId="0" borderId="47" xfId="0" applyNumberFormat="1" applyFont="1" applyBorder="1" applyAlignment="1" applyProtection="1">
      <alignment horizontal="center" vertical="center"/>
    </xf>
    <xf numFmtId="0" fontId="6" fillId="0" borderId="16" xfId="0" applyFont="1" applyBorder="1" applyAlignment="1">
      <protection locked="0"/>
    </xf>
    <xf numFmtId="0" fontId="13" fillId="0" borderId="1" xfId="0" applyFont="1" applyBorder="1" applyAlignment="1">
      <alignment horizontal="center" vertical="center"/>
      <protection locked="0"/>
    </xf>
    <xf numFmtId="0" fontId="13" fillId="0" borderId="53" xfId="0" applyFont="1" applyBorder="1" applyAlignment="1">
      <alignment horizontal="center" vertical="center"/>
      <protection locked="0"/>
    </xf>
    <xf numFmtId="165" fontId="6" fillId="0" borderId="3" xfId="0" applyNumberFormat="1" applyFont="1" applyBorder="1" applyAlignment="1" applyProtection="1">
      <alignment horizontal="center" vertical="center"/>
    </xf>
    <xf numFmtId="165" fontId="6" fillId="0" borderId="20" xfId="0" applyNumberFormat="1" applyFont="1" applyBorder="1" applyAlignment="1" applyProtection="1">
      <alignment horizontal="center" vertical="center"/>
    </xf>
    <xf numFmtId="165" fontId="6" fillId="0" borderId="21" xfId="0" applyNumberFormat="1" applyFont="1" applyBorder="1" applyAlignment="1" applyProtection="1">
      <alignment horizontal="center" vertical="center"/>
    </xf>
    <xf numFmtId="165" fontId="6" fillId="0" borderId="22" xfId="0" applyNumberFormat="1" applyFont="1" applyBorder="1" applyAlignment="1" applyProtection="1">
      <alignment horizontal="center" vertical="center"/>
    </xf>
    <xf numFmtId="0" fontId="6" fillId="0" borderId="45" xfId="0" applyFont="1" applyBorder="1" applyAlignment="1">
      <protection locked="0"/>
    </xf>
    <xf numFmtId="0" fontId="13" fillId="0" borderId="30" xfId="0" applyFont="1" applyBorder="1" applyAlignment="1">
      <alignment horizontal="center"/>
      <protection locked="0"/>
    </xf>
    <xf numFmtId="0" fontId="13" fillId="0" borderId="55" xfId="0" applyFont="1" applyBorder="1" applyAlignment="1">
      <alignment horizontal="center"/>
      <protection locked="0"/>
    </xf>
    <xf numFmtId="165" fontId="6" fillId="0" borderId="9" xfId="0" applyNumberFormat="1" applyFont="1" applyBorder="1" applyAlignment="1" applyProtection="1">
      <alignment horizontal="center" vertical="center"/>
    </xf>
    <xf numFmtId="165" fontId="6" fillId="0" borderId="35" xfId="0" applyNumberFormat="1" applyFont="1" applyBorder="1" applyAlignment="1" applyProtection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/>
    </xf>
    <xf numFmtId="165" fontId="6" fillId="0" borderId="1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165" fontId="1" fillId="0" borderId="0" xfId="1" applyNumberFormat="1" applyFont="1">
      <protection locked="0"/>
    </xf>
    <xf numFmtId="0" fontId="1" fillId="0" borderId="0" xfId="1" applyFont="1">
      <protection locked="0"/>
    </xf>
    <xf numFmtId="0" fontId="17" fillId="0" borderId="0" xfId="0" applyFont="1" applyAlignment="1" applyProtection="1">
      <alignment horizontal="right"/>
    </xf>
    <xf numFmtId="0" fontId="19" fillId="0" borderId="0" xfId="0" applyFont="1" applyProtection="1"/>
    <xf numFmtId="0" fontId="0" fillId="0" borderId="0" xfId="0" applyFont="1" applyProtection="1"/>
    <xf numFmtId="0" fontId="23" fillId="0" borderId="0" xfId="0" applyFont="1" applyProtection="1"/>
    <xf numFmtId="0" fontId="26" fillId="0" borderId="0" xfId="0" applyFont="1" applyProtection="1"/>
    <xf numFmtId="0" fontId="14" fillId="0" borderId="0" xfId="0" applyFont="1" applyProtection="1"/>
    <xf numFmtId="165" fontId="29" fillId="0" borderId="13" xfId="0" applyNumberFormat="1" applyFont="1" applyBorder="1" applyAlignment="1" applyProtection="1">
      <alignment horizontal="center" vertical="center" wrapText="1"/>
    </xf>
    <xf numFmtId="165" fontId="25" fillId="0" borderId="3" xfId="0" applyNumberFormat="1" applyFont="1" applyBorder="1" applyAlignment="1" applyProtection="1">
      <alignment horizontal="center" vertical="center" wrapText="1"/>
    </xf>
    <xf numFmtId="0" fontId="28" fillId="0" borderId="42" xfId="0" applyFont="1" applyBorder="1" applyAlignment="1" applyProtection="1">
      <alignment horizontal="center" vertical="center" wrapText="1"/>
    </xf>
    <xf numFmtId="0" fontId="29" fillId="0" borderId="3" xfId="0" applyFont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left" vertical="center" wrapText="1"/>
    </xf>
    <xf numFmtId="0" fontId="28" fillId="0" borderId="42" xfId="0" applyFont="1" applyBorder="1" applyAlignment="1" applyProtection="1">
      <alignment horizontal="left" vertical="center" wrapText="1"/>
    </xf>
    <xf numFmtId="0" fontId="30" fillId="0" borderId="3" xfId="0" applyFont="1" applyBorder="1" applyAlignment="1" applyProtection="1">
      <alignment horizontal="left" vertical="center" wrapText="1"/>
    </xf>
    <xf numFmtId="0" fontId="29" fillId="0" borderId="24" xfId="0" applyFont="1" applyBorder="1" applyAlignment="1" applyProtection="1">
      <alignment horizontal="left" vertical="center" wrapText="1"/>
    </xf>
    <xf numFmtId="0" fontId="29" fillId="0" borderId="14" xfId="0" applyFont="1" applyBorder="1" applyAlignment="1" applyProtection="1">
      <alignment horizontal="left" vertical="center" wrapText="1"/>
    </xf>
    <xf numFmtId="0" fontId="30" fillId="0" borderId="42" xfId="0" applyFont="1" applyBorder="1" applyAlignment="1" applyProtection="1">
      <alignment horizontal="left" vertical="center" wrapText="1"/>
    </xf>
    <xf numFmtId="0" fontId="30" fillId="0" borderId="24" xfId="0" applyFont="1" applyBorder="1" applyAlignment="1" applyProtection="1">
      <alignment horizontal="left" vertical="center" wrapText="1"/>
    </xf>
    <xf numFmtId="0" fontId="30" fillId="2" borderId="42" xfId="0" applyFont="1" applyFill="1" applyBorder="1" applyAlignment="1" applyProtection="1">
      <alignment horizontal="left" vertical="center" wrapText="1"/>
    </xf>
    <xf numFmtId="0" fontId="29" fillId="0" borderId="42" xfId="0" applyFont="1" applyBorder="1" applyAlignment="1" applyProtection="1">
      <alignment horizontal="left" vertical="center" wrapText="1"/>
    </xf>
    <xf numFmtId="0" fontId="28" fillId="0" borderId="24" xfId="0" applyFont="1" applyBorder="1" applyAlignment="1" applyProtection="1">
      <alignment horizontal="left" vertical="center" wrapText="1"/>
    </xf>
    <xf numFmtId="0" fontId="0" fillId="0" borderId="37" xfId="0" applyBorder="1" applyProtection="1"/>
    <xf numFmtId="165" fontId="29" fillId="0" borderId="3" xfId="0" applyNumberFormat="1" applyFont="1" applyBorder="1" applyAlignment="1" applyProtection="1">
      <alignment horizontal="center" vertical="center" wrapText="1"/>
    </xf>
    <xf numFmtId="165" fontId="21" fillId="0" borderId="21" xfId="0" applyNumberFormat="1" applyFont="1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/>
    </xf>
    <xf numFmtId="0" fontId="0" fillId="0" borderId="53" xfId="0" applyBorder="1" applyAlignment="1" applyProtection="1">
      <alignment horizontal="left"/>
    </xf>
    <xf numFmtId="0" fontId="0" fillId="0" borderId="53" xfId="0" applyBorder="1" applyProtection="1"/>
    <xf numFmtId="0" fontId="23" fillId="0" borderId="53" xfId="0" applyFont="1" applyBorder="1" applyProtection="1"/>
    <xf numFmtId="0" fontId="21" fillId="0" borderId="59" xfId="0" applyFont="1" applyBorder="1" applyAlignment="1" applyProtection="1">
      <alignment vertical="center" wrapText="1"/>
    </xf>
    <xf numFmtId="165" fontId="21" fillId="0" borderId="18" xfId="0" applyNumberFormat="1" applyFont="1" applyBorder="1" applyAlignment="1" applyProtection="1">
      <alignment horizontal="center" vertical="center" wrapText="1"/>
    </xf>
    <xf numFmtId="0" fontId="0" fillId="0" borderId="18" xfId="0" applyBorder="1" applyProtection="1"/>
    <xf numFmtId="0" fontId="21" fillId="0" borderId="20" xfId="0" applyFont="1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/>
    </xf>
    <xf numFmtId="0" fontId="21" fillId="0" borderId="52" xfId="0" applyFont="1" applyBorder="1" applyAlignment="1" applyProtection="1">
      <alignment horizontal="left" vertical="center" wrapText="1"/>
    </xf>
    <xf numFmtId="165" fontId="21" fillId="0" borderId="50" xfId="0" applyNumberFormat="1" applyFont="1" applyBorder="1" applyAlignment="1" applyProtection="1">
      <alignment horizontal="left" vertical="center" wrapText="1"/>
    </xf>
    <xf numFmtId="0" fontId="0" fillId="0" borderId="50" xfId="0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0" fillId="0" borderId="60" xfId="0" applyBorder="1" applyAlignment="1" applyProtection="1">
      <alignment horizontal="left"/>
    </xf>
    <xf numFmtId="0" fontId="30" fillId="0" borderId="14" xfId="0" applyFont="1" applyBorder="1" applyAlignment="1" applyProtection="1">
      <alignment horizontal="left" vertical="center" wrapText="1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5" fillId="2" borderId="20" xfId="0" applyFont="1" applyFill="1" applyBorder="1" applyAlignment="1" applyProtection="1">
      <alignment horizontal="left" vertical="center" wrapText="1"/>
    </xf>
    <xf numFmtId="165" fontId="24" fillId="0" borderId="21" xfId="0" applyNumberFormat="1" applyFont="1" applyBorder="1" applyAlignment="1" applyProtection="1">
      <alignment horizontal="left" vertical="center" wrapText="1"/>
    </xf>
    <xf numFmtId="0" fontId="28" fillId="0" borderId="13" xfId="0" applyFont="1" applyBorder="1" applyAlignment="1" applyProtection="1">
      <alignment horizontal="left" vertical="center" wrapText="1"/>
    </xf>
    <xf numFmtId="0" fontId="16" fillId="0" borderId="49" xfId="0" applyFont="1" applyBorder="1" applyAlignment="1" applyProtection="1">
      <alignment vertical="center" wrapText="1"/>
    </xf>
    <xf numFmtId="165" fontId="16" fillId="0" borderId="50" xfId="0" applyNumberFormat="1" applyFont="1" applyBorder="1" applyAlignment="1" applyProtection="1">
      <alignment horizontal="center" vertical="center" wrapText="1"/>
    </xf>
    <xf numFmtId="0" fontId="0" fillId="0" borderId="50" xfId="0" applyFont="1" applyBorder="1" applyProtection="1"/>
    <xf numFmtId="0" fontId="0" fillId="0" borderId="58" xfId="0" applyFont="1" applyBorder="1" applyProtection="1"/>
    <xf numFmtId="165" fontId="28" fillId="0" borderId="13" xfId="0" applyNumberFormat="1" applyFont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horizontal="left" vertical="center" wrapText="1"/>
    </xf>
    <xf numFmtId="0" fontId="25" fillId="2" borderId="52" xfId="0" applyFont="1" applyFill="1" applyBorder="1" applyAlignment="1" applyProtection="1">
      <alignment horizontal="justify" vertical="center" wrapText="1"/>
    </xf>
    <xf numFmtId="165" fontId="24" fillId="0" borderId="50" xfId="0" applyNumberFormat="1" applyFont="1" applyBorder="1" applyAlignment="1" applyProtection="1">
      <alignment horizontal="center" vertical="center" wrapText="1"/>
    </xf>
    <xf numFmtId="0" fontId="23" fillId="0" borderId="50" xfId="0" applyFont="1" applyBorder="1" applyProtection="1"/>
    <xf numFmtId="0" fontId="23" fillId="0" borderId="34" xfId="0" applyFont="1" applyBorder="1" applyProtection="1"/>
    <xf numFmtId="0" fontId="23" fillId="0" borderId="60" xfId="0" applyFont="1" applyBorder="1" applyProtection="1"/>
    <xf numFmtId="165" fontId="25" fillId="0" borderId="13" xfId="0" applyNumberFormat="1" applyFont="1" applyBorder="1" applyAlignment="1" applyProtection="1">
      <alignment horizontal="center" vertical="center" wrapText="1"/>
    </xf>
    <xf numFmtId="0" fontId="30" fillId="2" borderId="13" xfId="0" applyFont="1" applyFill="1" applyBorder="1" applyAlignment="1" applyProtection="1">
      <alignment horizontal="left" vertical="center" wrapText="1"/>
    </xf>
    <xf numFmtId="0" fontId="22" fillId="2" borderId="52" xfId="0" applyFont="1" applyFill="1" applyBorder="1" applyAlignment="1" applyProtection="1">
      <alignment horizontal="left" vertical="center" wrapText="1"/>
    </xf>
    <xf numFmtId="165" fontId="22" fillId="0" borderId="50" xfId="0" applyNumberFormat="1" applyFont="1" applyBorder="1" applyAlignment="1" applyProtection="1">
      <alignment horizontal="left" vertical="center" wrapText="1"/>
    </xf>
    <xf numFmtId="0" fontId="0" fillId="0" borderId="60" xfId="0" applyBorder="1" applyProtection="1"/>
    <xf numFmtId="165" fontId="30" fillId="0" borderId="13" xfId="0" applyNumberFormat="1" applyFont="1" applyBorder="1" applyAlignment="1" applyProtection="1">
      <alignment horizontal="center" vertical="center" wrapText="1"/>
    </xf>
    <xf numFmtId="0" fontId="23" fillId="0" borderId="50" xfId="0" applyFont="1" applyBorder="1" applyAlignment="1" applyProtection="1">
      <alignment horizontal="left"/>
    </xf>
    <xf numFmtId="0" fontId="23" fillId="0" borderId="34" xfId="0" applyFont="1" applyBorder="1" applyAlignment="1" applyProtection="1">
      <alignment horizontal="left"/>
    </xf>
    <xf numFmtId="0" fontId="25" fillId="2" borderId="17" xfId="0" applyFont="1" applyFill="1" applyBorder="1" applyAlignment="1" applyProtection="1">
      <alignment horizontal="left" vertical="center" wrapText="1"/>
    </xf>
    <xf numFmtId="165" fontId="24" fillId="0" borderId="18" xfId="0" applyNumberFormat="1" applyFont="1" applyBorder="1" applyAlignment="1" applyProtection="1">
      <alignment horizontal="left" vertical="center" wrapText="1"/>
    </xf>
    <xf numFmtId="0" fontId="23" fillId="0" borderId="18" xfId="0" applyFont="1" applyBorder="1" applyAlignment="1" applyProtection="1">
      <alignment horizontal="left"/>
    </xf>
    <xf numFmtId="0" fontId="23" fillId="0" borderId="19" xfId="0" applyFont="1" applyBorder="1" applyAlignment="1" applyProtection="1">
      <alignment horizontal="left"/>
    </xf>
    <xf numFmtId="0" fontId="23" fillId="0" borderId="44" xfId="0" applyFont="1" applyBorder="1" applyProtection="1"/>
    <xf numFmtId="165" fontId="25" fillId="0" borderId="14" xfId="0" applyNumberFormat="1" applyFont="1" applyBorder="1" applyAlignment="1" applyProtection="1">
      <alignment horizontal="center" vertical="center" wrapText="1"/>
    </xf>
    <xf numFmtId="0" fontId="11" fillId="0" borderId="40" xfId="0" applyFont="1" applyBorder="1" applyAlignment="1">
      <alignment vertical="center"/>
      <protection locked="0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53" xfId="0" applyFont="1" applyBorder="1" applyAlignment="1" applyProtection="1">
      <alignment horizontal="left" vertical="center" wrapText="1"/>
    </xf>
    <xf numFmtId="0" fontId="21" fillId="0" borderId="16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54" xfId="0" applyFont="1" applyBorder="1" applyAlignment="1" applyProtection="1">
      <alignment horizontal="left" vertical="center" wrapText="1"/>
    </xf>
    <xf numFmtId="0" fontId="21" fillId="0" borderId="36" xfId="0" applyFont="1" applyBorder="1" applyAlignment="1" applyProtection="1">
      <alignment horizontal="left" vertical="center" wrapText="1"/>
    </xf>
    <xf numFmtId="165" fontId="29" fillId="2" borderId="5" xfId="0" applyNumberFormat="1" applyFont="1" applyFill="1" applyBorder="1" applyAlignment="1" applyProtection="1">
      <alignment horizontal="center" vertical="center" wrapText="1"/>
    </xf>
    <xf numFmtId="165" fontId="29" fillId="2" borderId="38" xfId="0" applyNumberFormat="1" applyFont="1" applyFill="1" applyBorder="1" applyAlignment="1" applyProtection="1">
      <alignment horizontal="center" vertical="center" wrapText="1"/>
    </xf>
    <xf numFmtId="165" fontId="29" fillId="2" borderId="1" xfId="0" applyNumberFormat="1" applyFont="1" applyFill="1" applyBorder="1" applyAlignment="1" applyProtection="1">
      <alignment horizontal="center" vertical="center" wrapText="1"/>
    </xf>
    <xf numFmtId="165" fontId="29" fillId="2" borderId="16" xfId="0" applyNumberFormat="1" applyFont="1" applyFill="1" applyBorder="1" applyAlignment="1" applyProtection="1">
      <alignment horizontal="center" vertical="center" wrapText="1"/>
    </xf>
    <xf numFmtId="165" fontId="29" fillId="0" borderId="1" xfId="0" applyNumberFormat="1" applyFont="1" applyBorder="1" applyAlignment="1" applyProtection="1">
      <alignment horizontal="center" vertical="center" wrapText="1"/>
    </xf>
    <xf numFmtId="165" fontId="29" fillId="0" borderId="16" xfId="0" applyNumberFormat="1" applyFont="1" applyBorder="1" applyAlignment="1" applyProtection="1">
      <alignment horizontal="center" vertical="center" wrapText="1"/>
    </xf>
    <xf numFmtId="165" fontId="28" fillId="0" borderId="39" xfId="0" applyNumberFormat="1" applyFont="1" applyBorder="1" applyAlignment="1" applyProtection="1">
      <alignment horizontal="center" vertical="center" wrapText="1"/>
    </xf>
    <xf numFmtId="165" fontId="28" fillId="0" borderId="41" xfId="0" applyNumberFormat="1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21" fillId="0" borderId="44" xfId="0" applyFont="1" applyBorder="1" applyAlignment="1" applyProtection="1">
      <alignment horizontal="left" vertical="center" wrapText="1"/>
    </xf>
    <xf numFmtId="0" fontId="21" fillId="0" borderId="38" xfId="0" applyFont="1" applyBorder="1" applyAlignment="1" applyProtection="1">
      <alignment horizontal="left" vertical="center" wrapText="1"/>
    </xf>
    <xf numFmtId="165" fontId="29" fillId="0" borderId="5" xfId="0" applyNumberFormat="1" applyFont="1" applyBorder="1" applyAlignment="1" applyProtection="1">
      <alignment horizontal="center" vertical="center" wrapText="1"/>
    </xf>
    <xf numFmtId="165" fontId="29" fillId="0" borderId="38" xfId="0" applyNumberFormat="1" applyFont="1" applyBorder="1" applyAlignment="1" applyProtection="1">
      <alignment horizontal="center" vertical="center" wrapText="1"/>
    </xf>
    <xf numFmtId="165" fontId="30" fillId="0" borderId="39" xfId="0" applyNumberFormat="1" applyFont="1" applyBorder="1" applyAlignment="1" applyProtection="1">
      <alignment horizontal="center" vertical="center" wrapText="1"/>
    </xf>
    <xf numFmtId="165" fontId="30" fillId="0" borderId="41" xfId="0" applyNumberFormat="1" applyFont="1" applyBorder="1" applyAlignment="1" applyProtection="1">
      <alignment horizontal="center" vertical="center" wrapText="1"/>
    </xf>
    <xf numFmtId="0" fontId="16" fillId="0" borderId="39" xfId="0" applyFont="1" applyBorder="1" applyAlignment="1" applyProtection="1">
      <alignment horizontal="left" vertical="center" wrapText="1"/>
    </xf>
    <xf numFmtId="0" fontId="16" fillId="0" borderId="40" xfId="0" applyFont="1" applyBorder="1" applyAlignment="1" applyProtection="1">
      <alignment horizontal="left" vertical="center" wrapText="1"/>
    </xf>
    <xf numFmtId="0" fontId="16" fillId="0" borderId="41" xfId="0" applyFont="1" applyBorder="1" applyAlignment="1" applyProtection="1">
      <alignment horizontal="left" vertical="center" wrapText="1"/>
    </xf>
    <xf numFmtId="165" fontId="29" fillId="0" borderId="15" xfId="0" applyNumberFormat="1" applyFont="1" applyBorder="1" applyAlignment="1" applyProtection="1">
      <alignment horizontal="center" vertical="center" wrapText="1"/>
    </xf>
    <xf numFmtId="165" fontId="29" fillId="0" borderId="51" xfId="0" applyNumberFormat="1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left" vertical="center" wrapText="1"/>
    </xf>
    <xf numFmtId="0" fontId="21" fillId="0" borderId="60" xfId="0" applyFont="1" applyBorder="1" applyAlignment="1" applyProtection="1">
      <alignment horizontal="left" vertical="center" wrapText="1"/>
    </xf>
    <xf numFmtId="0" fontId="21" fillId="0" borderId="51" xfId="0" applyFont="1" applyBorder="1" applyAlignment="1" applyProtection="1">
      <alignment horizontal="left" vertical="center" wrapText="1"/>
    </xf>
    <xf numFmtId="0" fontId="22" fillId="2" borderId="39" xfId="0" applyFont="1" applyFill="1" applyBorder="1" applyAlignment="1" applyProtection="1">
      <alignment horizontal="left" vertical="center" wrapText="1"/>
    </xf>
    <xf numFmtId="0" fontId="22" fillId="2" borderId="40" xfId="0" applyFont="1" applyFill="1" applyBorder="1" applyAlignment="1" applyProtection="1">
      <alignment horizontal="left" vertical="center" wrapText="1"/>
    </xf>
    <xf numFmtId="0" fontId="22" fillId="2" borderId="41" xfId="0" applyFont="1" applyFill="1" applyBorder="1" applyAlignment="1" applyProtection="1">
      <alignment horizontal="left" vertical="center" wrapText="1"/>
    </xf>
    <xf numFmtId="0" fontId="22" fillId="0" borderId="39" xfId="0" applyFont="1" applyBorder="1" applyAlignment="1" applyProtection="1">
      <alignment horizontal="left" vertical="center" wrapText="1"/>
    </xf>
    <xf numFmtId="0" fontId="22" fillId="0" borderId="40" xfId="0" applyFont="1" applyBorder="1" applyAlignment="1" applyProtection="1">
      <alignment horizontal="left" vertical="center" wrapText="1"/>
    </xf>
    <xf numFmtId="0" fontId="22" fillId="0" borderId="41" xfId="0" applyFont="1" applyBorder="1" applyAlignment="1" applyProtection="1">
      <alignment horizontal="left" vertical="center" wrapText="1"/>
    </xf>
    <xf numFmtId="0" fontId="18" fillId="0" borderId="39" xfId="0" applyFont="1" applyBorder="1" applyAlignment="1" applyProtection="1">
      <alignment horizontal="left" vertical="center" wrapText="1"/>
    </xf>
    <xf numFmtId="0" fontId="18" fillId="0" borderId="40" xfId="0" applyFont="1" applyBorder="1" applyAlignment="1" applyProtection="1">
      <alignment horizontal="left" vertical="center" wrapText="1"/>
    </xf>
    <xf numFmtId="0" fontId="18" fillId="0" borderId="41" xfId="0" applyFont="1" applyBorder="1" applyAlignment="1" applyProtection="1">
      <alignment horizontal="left" vertical="center" wrapText="1"/>
    </xf>
    <xf numFmtId="165" fontId="25" fillId="0" borderId="46" xfId="0" applyNumberFormat="1" applyFont="1" applyBorder="1" applyAlignment="1" applyProtection="1">
      <alignment horizontal="center" vertical="center" wrapText="1"/>
    </xf>
    <xf numFmtId="165" fontId="25" fillId="0" borderId="48" xfId="0" applyNumberFormat="1" applyFont="1" applyBorder="1" applyAlignment="1" applyProtection="1">
      <alignment horizontal="center" vertical="center" wrapText="1"/>
    </xf>
    <xf numFmtId="165" fontId="25" fillId="0" borderId="1" xfId="0" applyNumberFormat="1" applyFont="1" applyBorder="1" applyAlignment="1" applyProtection="1">
      <alignment horizontal="center" vertical="center" wrapText="1"/>
    </xf>
    <xf numFmtId="165" fontId="25" fillId="0" borderId="16" xfId="0" applyNumberFormat="1" applyFont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left" vertical="center" wrapText="1"/>
    </xf>
    <xf numFmtId="0" fontId="25" fillId="2" borderId="53" xfId="0" applyFont="1" applyFill="1" applyBorder="1" applyAlignment="1" applyProtection="1">
      <alignment horizontal="left" vertical="center" wrapText="1"/>
    </xf>
    <xf numFmtId="0" fontId="25" fillId="2" borderId="16" xfId="0" applyFont="1" applyFill="1" applyBorder="1" applyAlignment="1" applyProtection="1">
      <alignment horizontal="left" vertical="center" wrapText="1"/>
    </xf>
    <xf numFmtId="0" fontId="24" fillId="2" borderId="46" xfId="0" applyFont="1" applyFill="1" applyBorder="1" applyAlignment="1" applyProtection="1">
      <alignment horizontal="left" vertical="center" wrapText="1"/>
    </xf>
    <xf numFmtId="0" fontId="24" fillId="2" borderId="0" xfId="0" applyFont="1" applyFill="1" applyBorder="1" applyAlignment="1" applyProtection="1">
      <alignment horizontal="left" vertical="center" wrapText="1"/>
    </xf>
    <xf numFmtId="0" fontId="24" fillId="2" borderId="48" xfId="0" applyFont="1" applyFill="1" applyBorder="1" applyAlignment="1" applyProtection="1">
      <alignment horizontal="left" vertical="center" wrapText="1"/>
    </xf>
    <xf numFmtId="0" fontId="21" fillId="0" borderId="46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48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44" xfId="0" applyFont="1" applyBorder="1" applyAlignment="1" applyProtection="1">
      <alignment horizontal="left" vertical="center" wrapText="1"/>
    </xf>
    <xf numFmtId="0" fontId="22" fillId="0" borderId="38" xfId="0" applyFont="1" applyBorder="1" applyAlignment="1" applyProtection="1">
      <alignment horizontal="left" vertical="center" wrapText="1"/>
    </xf>
    <xf numFmtId="165" fontId="30" fillId="0" borderId="5" xfId="0" applyNumberFormat="1" applyFont="1" applyBorder="1" applyAlignment="1" applyProtection="1">
      <alignment horizontal="center" vertical="center" wrapText="1"/>
    </xf>
    <xf numFmtId="165" fontId="30" fillId="0" borderId="38" xfId="0" applyNumberFormat="1" applyFont="1" applyBorder="1" applyAlignment="1" applyProtection="1">
      <alignment horizontal="center" vertical="center" wrapText="1"/>
    </xf>
    <xf numFmtId="165" fontId="29" fillId="0" borderId="6" xfId="0" applyNumberFormat="1" applyFont="1" applyBorder="1" applyAlignment="1" applyProtection="1">
      <alignment horizontal="center" vertical="center" wrapText="1"/>
    </xf>
    <xf numFmtId="165" fontId="29" fillId="0" borderId="32" xfId="0" applyNumberFormat="1" applyFont="1" applyBorder="1" applyAlignment="1" applyProtection="1">
      <alignment horizontal="center" vertical="center" wrapText="1"/>
    </xf>
    <xf numFmtId="0" fontId="27" fillId="0" borderId="46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</xf>
    <xf numFmtId="165" fontId="18" fillId="0" borderId="46" xfId="0" applyNumberFormat="1" applyFont="1" applyBorder="1" applyAlignment="1" applyProtection="1">
      <alignment horizontal="center" vertical="center" wrapText="1"/>
    </xf>
    <xf numFmtId="165" fontId="18" fillId="0" borderId="48" xfId="0" applyNumberFormat="1" applyFont="1" applyBorder="1" applyAlignment="1" applyProtection="1">
      <alignment horizontal="center" vertical="center" wrapText="1"/>
    </xf>
    <xf numFmtId="165" fontId="28" fillId="0" borderId="40" xfId="0" applyNumberFormat="1" applyFont="1" applyBorder="1" applyAlignment="1" applyProtection="1">
      <alignment horizontal="center" vertical="center" wrapText="1"/>
    </xf>
    <xf numFmtId="165" fontId="29" fillId="0" borderId="40" xfId="0" applyNumberFormat="1" applyFont="1" applyBorder="1" applyAlignment="1" applyProtection="1">
      <alignment horizontal="center" vertical="center" wrapText="1"/>
    </xf>
    <xf numFmtId="165" fontId="29" fillId="0" borderId="41" xfId="0" applyNumberFormat="1" applyFont="1" applyBorder="1" applyAlignment="1" applyProtection="1">
      <alignment horizontal="center" vertical="center" wrapText="1"/>
    </xf>
    <xf numFmtId="0" fontId="16" fillId="0" borderId="39" xfId="0" applyFont="1" applyBorder="1" applyAlignment="1" applyProtection="1">
      <alignment horizontal="center" vertical="center" wrapText="1"/>
    </xf>
    <xf numFmtId="0" fontId="16" fillId="0" borderId="40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</xf>
    <xf numFmtId="0" fontId="20" fillId="0" borderId="39" xfId="0" applyFont="1" applyBorder="1" applyAlignment="1" applyProtection="1">
      <alignment horizontal="left" vertical="center" wrapText="1"/>
    </xf>
    <xf numFmtId="0" fontId="20" fillId="0" borderId="40" xfId="0" applyFont="1" applyBorder="1" applyAlignment="1" applyProtection="1">
      <alignment horizontal="left" vertical="center" wrapText="1"/>
    </xf>
    <xf numFmtId="0" fontId="20" fillId="0" borderId="41" xfId="0" applyFont="1" applyBorder="1" applyAlignment="1" applyProtection="1">
      <alignment horizontal="left" vertical="center" wrapText="1"/>
    </xf>
    <xf numFmtId="0" fontId="21" fillId="0" borderId="39" xfId="0" applyFont="1" applyBorder="1" applyAlignment="1" applyProtection="1">
      <alignment horizontal="left" vertical="center" wrapText="1"/>
    </xf>
    <xf numFmtId="0" fontId="21" fillId="0" borderId="40" xfId="0" applyFont="1" applyBorder="1" applyAlignment="1" applyProtection="1">
      <alignment horizontal="left" vertical="center" wrapText="1"/>
    </xf>
    <xf numFmtId="0" fontId="21" fillId="0" borderId="41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1" fillId="0" borderId="31" xfId="0" applyFont="1" applyBorder="1" applyAlignment="1" applyProtection="1">
      <alignment horizontal="left" vertical="center" wrapText="1"/>
    </xf>
    <xf numFmtId="0" fontId="21" fillId="0" borderId="32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/>
    </xf>
    <xf numFmtId="0" fontId="1" fillId="0" borderId="1" xfId="0" applyFont="1" applyBorder="1" applyAlignment="1">
      <alignment horizontal="center"/>
      <protection locked="0"/>
    </xf>
    <xf numFmtId="0" fontId="1" fillId="0" borderId="53" xfId="0" applyFont="1" applyBorder="1" applyAlignment="1">
      <alignment horizontal="center"/>
      <protection locked="0"/>
    </xf>
    <xf numFmtId="0" fontId="1" fillId="0" borderId="17" xfId="0" applyFont="1" applyBorder="1" applyAlignment="1">
      <alignment horizontal="center"/>
      <protection locked="0"/>
    </xf>
    <xf numFmtId="0" fontId="1" fillId="0" borderId="57" xfId="0" applyFont="1" applyBorder="1" applyAlignment="1">
      <alignment horizontal="center"/>
      <protection locked="0"/>
    </xf>
    <xf numFmtId="0" fontId="1" fillId="0" borderId="20" xfId="0" applyFont="1" applyBorder="1" applyAlignment="1">
      <alignment horizontal="center"/>
      <protection locked="0"/>
    </xf>
    <xf numFmtId="0" fontId="1" fillId="0" borderId="37" xfId="0" applyFont="1" applyBorder="1" applyAlignment="1">
      <alignment horizontal="center"/>
      <protection locked="0"/>
    </xf>
    <xf numFmtId="0" fontId="1" fillId="0" borderId="2" xfId="0" applyFont="1" applyBorder="1" applyAlignment="1">
      <alignment horizontal="center"/>
      <protection locked="0"/>
    </xf>
    <xf numFmtId="0" fontId="1" fillId="0" borderId="54" xfId="0" applyFont="1" applyBorder="1" applyAlignment="1">
      <alignment horizontal="center"/>
      <protection locked="0"/>
    </xf>
    <xf numFmtId="164" fontId="10" fillId="0" borderId="13" xfId="0" applyNumberFormat="1" applyFont="1" applyBorder="1" applyAlignment="1">
      <alignment horizontal="left" wrapText="1"/>
      <protection locked="0"/>
    </xf>
    <xf numFmtId="164" fontId="10" fillId="0" borderId="14" xfId="0" applyNumberFormat="1" applyFont="1" applyBorder="1" applyAlignment="1">
      <alignment horizontal="left" wrapText="1"/>
      <protection locked="0"/>
    </xf>
    <xf numFmtId="49" fontId="1" fillId="0" borderId="13" xfId="0" applyNumberFormat="1" applyFont="1" applyBorder="1" applyAlignment="1">
      <alignment horizontal="center"/>
      <protection locked="0"/>
    </xf>
    <xf numFmtId="49" fontId="1" fillId="0" borderId="14" xfId="0" applyNumberFormat="1" applyFont="1" applyBorder="1" applyAlignment="1">
      <alignment horizontal="center"/>
      <protection locked="0"/>
    </xf>
    <xf numFmtId="49" fontId="1" fillId="0" borderId="24" xfId="0" applyNumberFormat="1" applyFont="1" applyBorder="1" applyAlignment="1">
      <alignment horizontal="center"/>
      <protection locked="0"/>
    </xf>
    <xf numFmtId="164" fontId="10" fillId="0" borderId="24" xfId="0" applyNumberFormat="1" applyFont="1" applyBorder="1" applyAlignment="1">
      <alignment horizontal="left" wrapText="1"/>
      <protection locked="0"/>
    </xf>
    <xf numFmtId="0" fontId="1" fillId="0" borderId="52" xfId="0" applyFont="1" applyBorder="1" applyAlignment="1">
      <alignment horizontal="center"/>
      <protection locked="0"/>
    </xf>
    <xf numFmtId="0" fontId="1" fillId="0" borderId="58" xfId="0" applyFont="1" applyBorder="1" applyAlignment="1">
      <alignment horizontal="center"/>
      <protection locked="0"/>
    </xf>
    <xf numFmtId="165" fontId="2" fillId="0" borderId="0" xfId="0" applyNumberFormat="1" applyFont="1" applyAlignment="1">
      <alignment horizontal="center"/>
      <protection locked="0"/>
    </xf>
    <xf numFmtId="0" fontId="9" fillId="0" borderId="23" xfId="0" applyFont="1" applyBorder="1" applyAlignment="1">
      <alignment horizontal="center" vertical="center" textRotation="90" wrapText="1"/>
      <protection locked="0"/>
    </xf>
    <xf numFmtId="0" fontId="9" fillId="0" borderId="24" xfId="0" applyFont="1" applyBorder="1" applyAlignment="1">
      <alignment horizontal="center" vertical="center" textRotation="90" wrapText="1"/>
      <protection locked="0"/>
    </xf>
    <xf numFmtId="0" fontId="9" fillId="0" borderId="26" xfId="0" applyFont="1" applyBorder="1" applyAlignment="1">
      <alignment horizontal="center" vertical="center" textRotation="90" wrapText="1"/>
      <protection locked="0"/>
    </xf>
    <xf numFmtId="0" fontId="3" fillId="0" borderId="6" xfId="0" applyFont="1" applyBorder="1" applyAlignment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  <protection locked="0"/>
    </xf>
    <xf numFmtId="0" fontId="4" fillId="0" borderId="2" xfId="0" applyFont="1" applyBorder="1" applyAlignment="1">
      <protection locked="0"/>
    </xf>
    <xf numFmtId="0" fontId="3" fillId="0" borderId="23" xfId="0" applyFont="1" applyBorder="1" applyAlignment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textRotation="90" wrapText="1"/>
      <protection locked="0"/>
    </xf>
    <xf numFmtId="0" fontId="3" fillId="0" borderId="24" xfId="0" applyFont="1" applyBorder="1" applyAlignment="1">
      <alignment horizontal="center" vertical="center" textRotation="90" wrapText="1"/>
      <protection locked="0"/>
    </xf>
    <xf numFmtId="0" fontId="3" fillId="0" borderId="26" xfId="0" applyFont="1" applyBorder="1" applyAlignment="1">
      <alignment horizontal="center" vertical="center" textRotation="90" wrapText="1"/>
      <protection locked="0"/>
    </xf>
    <xf numFmtId="165" fontId="3" fillId="0" borderId="4" xfId="0" applyNumberFormat="1" applyFont="1" applyBorder="1" applyAlignment="1">
      <alignment horizontal="center" vertical="center" wrapText="1"/>
      <protection locked="0"/>
    </xf>
    <xf numFmtId="165" fontId="4" fillId="0" borderId="3" xfId="0" applyNumberFormat="1" applyFont="1" applyBorder="1" applyAlignment="1">
      <alignment horizontal="center" vertical="center"/>
      <protection locked="0"/>
    </xf>
    <xf numFmtId="165" fontId="4" fillId="0" borderId="9" xfId="0" applyNumberFormat="1" applyFont="1" applyBorder="1" applyAlignment="1">
      <protection locked="0"/>
    </xf>
    <xf numFmtId="165" fontId="3" fillId="0" borderId="6" xfId="0" applyNumberFormat="1" applyFont="1" applyBorder="1" applyAlignment="1">
      <alignment horizontal="center" vertical="center" wrapText="1"/>
      <protection locked="0"/>
    </xf>
    <xf numFmtId="165" fontId="3" fillId="0" borderId="31" xfId="0" applyNumberFormat="1" applyFont="1" applyBorder="1" applyAlignment="1">
      <alignment horizontal="center" vertical="center" wrapText="1"/>
      <protection locked="0"/>
    </xf>
    <xf numFmtId="165" fontId="3" fillId="0" borderId="32" xfId="0" applyNumberFormat="1" applyFont="1" applyBorder="1" applyAlignment="1">
      <alignment horizontal="center" vertical="center" wrapText="1"/>
      <protection locked="0"/>
    </xf>
    <xf numFmtId="165" fontId="3" fillId="0" borderId="1" xfId="0" applyNumberFormat="1" applyFont="1" applyBorder="1" applyAlignment="1">
      <alignment horizontal="center" vertical="center"/>
      <protection locked="0"/>
    </xf>
    <xf numFmtId="165" fontId="3" fillId="0" borderId="33" xfId="0" applyNumberFormat="1" applyFont="1" applyBorder="1" applyAlignment="1">
      <alignment horizontal="center" vertical="center"/>
      <protection locked="0"/>
    </xf>
    <xf numFmtId="165" fontId="3" fillId="0" borderId="34" xfId="0" applyNumberFormat="1" applyFont="1" applyBorder="1" applyAlignment="1">
      <alignment horizontal="center" vertical="center" wrapText="1"/>
      <protection locked="0"/>
    </xf>
    <xf numFmtId="165" fontId="3" fillId="0" borderId="25" xfId="0" applyNumberFormat="1" applyFont="1" applyBorder="1" applyAlignment="1">
      <alignment horizontal="center" vertical="center" wrapText="1"/>
      <protection locked="0"/>
    </xf>
    <xf numFmtId="165" fontId="3" fillId="0" borderId="27" xfId="0" applyNumberFormat="1" applyFont="1" applyBorder="1" applyAlignment="1">
      <alignment horizontal="center" vertical="center" wrapText="1"/>
      <protection locked="0"/>
    </xf>
    <xf numFmtId="165" fontId="3" fillId="0" borderId="20" xfId="0" applyNumberFormat="1" applyFont="1" applyBorder="1" applyAlignment="1">
      <alignment horizontal="center" vertical="center"/>
      <protection locked="0"/>
    </xf>
    <xf numFmtId="165" fontId="4" fillId="0" borderId="35" xfId="0" applyNumberFormat="1" applyFont="1" applyBorder="1" applyAlignment="1">
      <protection locked="0"/>
    </xf>
    <xf numFmtId="165" fontId="3" fillId="0" borderId="21" xfId="0" applyNumberFormat="1" applyFont="1" applyBorder="1" applyAlignment="1">
      <alignment horizontal="center" vertical="center" wrapText="1"/>
      <protection locked="0"/>
    </xf>
    <xf numFmtId="165" fontId="4" fillId="0" borderId="10" xfId="0" applyNumberFormat="1" applyFont="1" applyBorder="1" applyAlignment="1">
      <protection locked="0"/>
    </xf>
    <xf numFmtId="49" fontId="4" fillId="0" borderId="13" xfId="0" applyNumberFormat="1" applyFont="1" applyBorder="1" applyAlignment="1">
      <alignment horizontal="center"/>
      <protection locked="0"/>
    </xf>
    <xf numFmtId="49" fontId="4" fillId="0" borderId="24" xfId="0" applyNumberFormat="1" applyFont="1" applyBorder="1" applyAlignment="1">
      <alignment horizontal="center"/>
      <protection locked="0"/>
    </xf>
    <xf numFmtId="49" fontId="4" fillId="0" borderId="14" xfId="0" applyNumberFormat="1" applyFont="1" applyBorder="1" applyAlignment="1">
      <alignment horizontal="center"/>
      <protection locked="0"/>
    </xf>
    <xf numFmtId="164" fontId="10" fillId="0" borderId="13" xfId="0" applyNumberFormat="1" applyFont="1" applyBorder="1" applyAlignment="1">
      <alignment horizontal="center" wrapText="1"/>
      <protection locked="0"/>
    </xf>
    <xf numFmtId="164" fontId="10" fillId="0" borderId="24" xfId="0" applyNumberFormat="1" applyFont="1" applyBorder="1" applyAlignment="1">
      <alignment horizontal="center" wrapText="1"/>
      <protection locked="0"/>
    </xf>
    <xf numFmtId="164" fontId="10" fillId="0" borderId="14" xfId="0" applyNumberFormat="1" applyFont="1" applyBorder="1" applyAlignment="1">
      <alignment horizontal="center" wrapText="1"/>
      <protection locked="0"/>
    </xf>
    <xf numFmtId="49" fontId="4" fillId="0" borderId="13" xfId="0" applyNumberFormat="1" applyFont="1" applyBorder="1" applyAlignment="1">
      <alignment horizontal="center" vertical="center"/>
      <protection locked="0"/>
    </xf>
    <xf numFmtId="49" fontId="4" fillId="0" borderId="24" xfId="0" applyNumberFormat="1" applyFont="1" applyBorder="1" applyAlignment="1">
      <alignment horizontal="center" vertical="center"/>
      <protection locked="0"/>
    </xf>
    <xf numFmtId="49" fontId="4" fillId="0" borderId="14" xfId="0" applyNumberFormat="1" applyFont="1" applyBorder="1" applyAlignment="1">
      <alignment horizontal="center" vertical="center"/>
      <protection locked="0"/>
    </xf>
    <xf numFmtId="164" fontId="10" fillId="0" borderId="13" xfId="0" applyNumberFormat="1" applyFont="1" applyBorder="1" applyAlignment="1">
      <alignment horizontal="left" vertical="center" wrapText="1"/>
      <protection locked="0"/>
    </xf>
    <xf numFmtId="164" fontId="10" fillId="0" borderId="14" xfId="0" applyNumberFormat="1" applyFont="1" applyBorder="1" applyAlignment="1">
      <alignment horizontal="left" vertical="center" wrapText="1"/>
      <protection locked="0"/>
    </xf>
    <xf numFmtId="49" fontId="1" fillId="0" borderId="13" xfId="0" applyNumberFormat="1" applyFont="1" applyBorder="1" applyAlignment="1">
      <alignment horizontal="center" vertical="center"/>
      <protection locked="0"/>
    </xf>
    <xf numFmtId="49" fontId="1" fillId="0" borderId="14" xfId="0" applyNumberFormat="1" applyFont="1" applyBorder="1" applyAlignment="1">
      <alignment horizontal="center" vertical="center"/>
      <protection locked="0"/>
    </xf>
    <xf numFmtId="164" fontId="10" fillId="0" borderId="24" xfId="0" applyNumberFormat="1" applyFont="1" applyBorder="1" applyAlignment="1">
      <alignment horizontal="left" vertical="center" wrapText="1"/>
      <protection locked="0"/>
    </xf>
  </cellXfs>
  <cellStyles count="2">
    <cellStyle name="Įprastas" xfId="0" builtinId="0"/>
    <cellStyle name="Įprastas 2" xfId="1" xr:uid="{00000000-0005-0000-0000-000001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5"/>
  <sheetViews>
    <sheetView tabSelected="1" topLeftCell="A203" zoomScale="115" zoomScaleNormal="115" zoomScaleSheetLayoutView="100" zoomScalePageLayoutView="160" workbookViewId="0"/>
  </sheetViews>
  <sheetFormatPr defaultColWidth="9.33203125" defaultRowHeight="12" x14ac:dyDescent="0.25"/>
  <cols>
    <col min="1" max="1" width="6.6640625" style="10" customWidth="1"/>
    <col min="2" max="2" width="49.44140625" style="1" customWidth="1"/>
    <col min="3" max="4" width="6.6640625" style="12" customWidth="1"/>
    <col min="5" max="7" width="10.5546875" style="9" customWidth="1"/>
    <col min="8" max="8" width="10.109375" style="9" customWidth="1"/>
    <col min="9" max="16384" width="9.33203125" style="1"/>
  </cols>
  <sheetData>
    <row r="1" spans="1:8" s="151" customFormat="1" ht="13.2" x14ac:dyDescent="0.25">
      <c r="A1" s="150"/>
      <c r="D1" s="152"/>
      <c r="E1" s="153"/>
      <c r="F1" s="152" t="s">
        <v>4</v>
      </c>
    </row>
    <row r="2" spans="1:8" s="151" customFormat="1" ht="13.2" x14ac:dyDescent="0.25">
      <c r="A2" s="150"/>
      <c r="D2" s="152"/>
      <c r="E2" s="153"/>
      <c r="F2" s="152" t="s">
        <v>220</v>
      </c>
    </row>
    <row r="3" spans="1:8" s="151" customFormat="1" ht="13.2" x14ac:dyDescent="0.25">
      <c r="A3" s="150"/>
      <c r="D3" s="152"/>
      <c r="E3" s="153"/>
      <c r="F3" s="152" t="s">
        <v>223</v>
      </c>
    </row>
    <row r="4" spans="1:8" s="151" customFormat="1" ht="13.2" x14ac:dyDescent="0.25">
      <c r="A4" s="150"/>
      <c r="C4" s="152"/>
    </row>
    <row r="5" spans="1:8" s="151" customFormat="1" ht="19.5" customHeight="1" x14ac:dyDescent="0.25">
      <c r="A5" s="300" t="s">
        <v>224</v>
      </c>
      <c r="B5" s="300"/>
      <c r="C5" s="300"/>
      <c r="D5" s="300"/>
      <c r="E5" s="300"/>
      <c r="F5" s="300"/>
      <c r="G5" s="300"/>
      <c r="H5" s="300"/>
    </row>
    <row r="6" spans="1:8" s="151" customFormat="1" ht="18" customHeight="1" thickBot="1" x14ac:dyDescent="0.3">
      <c r="A6" s="150"/>
      <c r="C6" s="154"/>
      <c r="H6" s="154" t="s">
        <v>162</v>
      </c>
    </row>
    <row r="7" spans="1:8" s="151" customFormat="1" ht="35.25" customHeight="1" thickBot="1" x14ac:dyDescent="0.3">
      <c r="A7" s="162" t="s">
        <v>6</v>
      </c>
      <c r="B7" s="288" t="s">
        <v>225</v>
      </c>
      <c r="C7" s="289"/>
      <c r="D7" s="289"/>
      <c r="E7" s="289"/>
      <c r="F7" s="290"/>
      <c r="G7" s="285" t="s">
        <v>0</v>
      </c>
      <c r="H7" s="236"/>
    </row>
    <row r="8" spans="1:8" s="155" customFormat="1" ht="29.25" customHeight="1" thickBot="1" x14ac:dyDescent="0.4">
      <c r="A8" s="165" t="s">
        <v>175</v>
      </c>
      <c r="B8" s="244" t="s">
        <v>226</v>
      </c>
      <c r="C8" s="245"/>
      <c r="D8" s="245"/>
      <c r="E8" s="245"/>
      <c r="F8" s="246"/>
      <c r="G8" s="285">
        <f>SUM(G9,G11,G15)</f>
        <v>15394</v>
      </c>
      <c r="H8" s="236"/>
    </row>
    <row r="9" spans="1:8" s="156" customFormat="1" ht="34.5" customHeight="1" thickBot="1" x14ac:dyDescent="0.3">
      <c r="A9" s="165" t="s">
        <v>22</v>
      </c>
      <c r="B9" s="291" t="s">
        <v>227</v>
      </c>
      <c r="C9" s="292"/>
      <c r="D9" s="292"/>
      <c r="E9" s="292"/>
      <c r="F9" s="293"/>
      <c r="G9" s="285">
        <f>SUM(G10:G10)</f>
        <v>15270</v>
      </c>
      <c r="H9" s="236"/>
    </row>
    <row r="10" spans="1:8" s="151" customFormat="1" ht="34.5" customHeight="1" thickBot="1" x14ac:dyDescent="0.3">
      <c r="A10" s="167" t="s">
        <v>228</v>
      </c>
      <c r="B10" s="294" t="s">
        <v>227</v>
      </c>
      <c r="C10" s="295"/>
      <c r="D10" s="295"/>
      <c r="E10" s="295"/>
      <c r="F10" s="296"/>
      <c r="G10" s="286">
        <v>15270</v>
      </c>
      <c r="H10" s="287"/>
    </row>
    <row r="11" spans="1:8" s="156" customFormat="1" ht="33" customHeight="1" thickBot="1" x14ac:dyDescent="0.3">
      <c r="A11" s="165" t="s">
        <v>229</v>
      </c>
      <c r="B11" s="244" t="s">
        <v>230</v>
      </c>
      <c r="C11" s="245"/>
      <c r="D11" s="245"/>
      <c r="E11" s="245"/>
      <c r="F11" s="246"/>
      <c r="G11" s="285">
        <f>SUM(G12:H14)</f>
        <v>98</v>
      </c>
      <c r="H11" s="236"/>
    </row>
    <row r="12" spans="1:8" s="151" customFormat="1" ht="22.2" customHeight="1" x14ac:dyDescent="0.25">
      <c r="A12" s="168" t="s">
        <v>231</v>
      </c>
      <c r="B12" s="297" t="s">
        <v>232</v>
      </c>
      <c r="C12" s="298"/>
      <c r="D12" s="298"/>
      <c r="E12" s="298"/>
      <c r="F12" s="299"/>
      <c r="G12" s="279">
        <v>7</v>
      </c>
      <c r="H12" s="280"/>
    </row>
    <row r="13" spans="1:8" s="151" customFormat="1" ht="22.2" customHeight="1" x14ac:dyDescent="0.25">
      <c r="A13" s="163" t="s">
        <v>233</v>
      </c>
      <c r="B13" s="223" t="s">
        <v>234</v>
      </c>
      <c r="C13" s="224"/>
      <c r="D13" s="224"/>
      <c r="E13" s="224"/>
      <c r="F13" s="225"/>
      <c r="G13" s="233">
        <v>1</v>
      </c>
      <c r="H13" s="234"/>
    </row>
    <row r="14" spans="1:8" s="151" customFormat="1" ht="25.95" customHeight="1" thickBot="1" x14ac:dyDescent="0.3">
      <c r="A14" s="164" t="s">
        <v>235</v>
      </c>
      <c r="B14" s="249" t="s">
        <v>236</v>
      </c>
      <c r="C14" s="250"/>
      <c r="D14" s="250"/>
      <c r="E14" s="250"/>
      <c r="F14" s="251"/>
      <c r="G14" s="247">
        <v>90</v>
      </c>
      <c r="H14" s="248"/>
    </row>
    <row r="15" spans="1:8" s="156" customFormat="1" ht="33.75" customHeight="1" thickBot="1" x14ac:dyDescent="0.3">
      <c r="A15" s="165" t="s">
        <v>237</v>
      </c>
      <c r="B15" s="244" t="s">
        <v>238</v>
      </c>
      <c r="C15" s="245"/>
      <c r="D15" s="245"/>
      <c r="E15" s="245"/>
      <c r="F15" s="246"/>
      <c r="G15" s="235">
        <f>SUM(G16)</f>
        <v>26</v>
      </c>
      <c r="H15" s="236"/>
    </row>
    <row r="16" spans="1:8" s="151" customFormat="1" ht="30.75" customHeight="1" thickBot="1" x14ac:dyDescent="0.3">
      <c r="A16" s="168" t="s">
        <v>239</v>
      </c>
      <c r="B16" s="237" t="s">
        <v>240</v>
      </c>
      <c r="C16" s="238"/>
      <c r="D16" s="238"/>
      <c r="E16" s="238"/>
      <c r="F16" s="239"/>
      <c r="G16" s="240">
        <v>26</v>
      </c>
      <c r="H16" s="241"/>
    </row>
    <row r="17" spans="1:8" s="151" customFormat="1" ht="30" hidden="1" customHeight="1" x14ac:dyDescent="0.25">
      <c r="A17" s="163" t="s">
        <v>241</v>
      </c>
      <c r="B17" s="184" t="s">
        <v>242</v>
      </c>
      <c r="C17" s="176"/>
      <c r="D17" s="177"/>
      <c r="E17" s="177"/>
      <c r="F17" s="185"/>
      <c r="G17" s="178"/>
      <c r="H17" s="175"/>
    </row>
    <row r="18" spans="1:8" s="151" customFormat="1" ht="29.25" hidden="1" customHeight="1" x14ac:dyDescent="0.25">
      <c r="A18" s="164" t="s">
        <v>243</v>
      </c>
      <c r="B18" s="186" t="s">
        <v>244</v>
      </c>
      <c r="C18" s="187"/>
      <c r="D18" s="188"/>
      <c r="E18" s="188"/>
      <c r="F18" s="189"/>
      <c r="G18" s="190"/>
      <c r="H18" s="160"/>
    </row>
    <row r="19" spans="1:8" s="155" customFormat="1" ht="33.75" customHeight="1" thickBot="1" x14ac:dyDescent="0.4">
      <c r="A19" s="165" t="s">
        <v>176</v>
      </c>
      <c r="B19" s="258" t="s">
        <v>245</v>
      </c>
      <c r="C19" s="259"/>
      <c r="D19" s="259"/>
      <c r="E19" s="259"/>
      <c r="F19" s="260"/>
      <c r="G19" s="235">
        <f>SUM(G20,G57)</f>
        <v>6710.2019999999993</v>
      </c>
      <c r="H19" s="236"/>
    </row>
    <row r="20" spans="1:8" s="156" customFormat="1" ht="31.95" customHeight="1" thickBot="1" x14ac:dyDescent="0.3">
      <c r="A20" s="165" t="s">
        <v>148</v>
      </c>
      <c r="B20" s="244" t="s">
        <v>246</v>
      </c>
      <c r="C20" s="245"/>
      <c r="D20" s="245"/>
      <c r="E20" s="245"/>
      <c r="F20" s="246"/>
      <c r="G20" s="235">
        <f>SUM(G22,G43,G44,H47,G48,G50,G52)</f>
        <v>5682.3829999999998</v>
      </c>
      <c r="H20" s="236"/>
    </row>
    <row r="21" spans="1:8" s="157" customFormat="1" ht="30.6" customHeight="1" x14ac:dyDescent="0.3">
      <c r="A21" s="191" t="s">
        <v>247</v>
      </c>
      <c r="B21" s="274" t="s">
        <v>248</v>
      </c>
      <c r="C21" s="275"/>
      <c r="D21" s="275"/>
      <c r="E21" s="275"/>
      <c r="F21" s="276"/>
      <c r="G21" s="277">
        <f>SUM(G22,G43,G44,H45:H46)</f>
        <v>5498.7020000000002</v>
      </c>
      <c r="H21" s="278"/>
    </row>
    <row r="22" spans="1:8" s="151" customFormat="1" ht="33.75" customHeight="1" x14ac:dyDescent="0.25">
      <c r="A22" s="163" t="s">
        <v>249</v>
      </c>
      <c r="B22" s="223" t="s">
        <v>250</v>
      </c>
      <c r="C22" s="224"/>
      <c r="D22" s="224"/>
      <c r="E22" s="224"/>
      <c r="F22" s="225"/>
      <c r="G22" s="233">
        <f>SUM(G23:H42)</f>
        <v>1118.2019999999998</v>
      </c>
      <c r="H22" s="234"/>
    </row>
    <row r="23" spans="1:8" s="151" customFormat="1" ht="23.25" customHeight="1" x14ac:dyDescent="0.25">
      <c r="A23" s="163"/>
      <c r="B23" s="223" t="s">
        <v>251</v>
      </c>
      <c r="C23" s="224"/>
      <c r="D23" s="224"/>
      <c r="E23" s="224"/>
      <c r="F23" s="225"/>
      <c r="G23" s="233">
        <v>0.6</v>
      </c>
      <c r="H23" s="234"/>
    </row>
    <row r="24" spans="1:8" s="151" customFormat="1" ht="27.75" customHeight="1" x14ac:dyDescent="0.25">
      <c r="A24" s="163"/>
      <c r="B24" s="223" t="s">
        <v>252</v>
      </c>
      <c r="C24" s="224"/>
      <c r="D24" s="224"/>
      <c r="E24" s="224"/>
      <c r="F24" s="225"/>
      <c r="G24" s="233">
        <v>11.2</v>
      </c>
      <c r="H24" s="234"/>
    </row>
    <row r="25" spans="1:8" s="151" customFormat="1" ht="27.75" customHeight="1" x14ac:dyDescent="0.25">
      <c r="A25" s="163"/>
      <c r="B25" s="223" t="s">
        <v>253</v>
      </c>
      <c r="C25" s="224"/>
      <c r="D25" s="224"/>
      <c r="E25" s="224"/>
      <c r="F25" s="225"/>
      <c r="G25" s="233">
        <v>18</v>
      </c>
      <c r="H25" s="234"/>
    </row>
    <row r="26" spans="1:8" s="151" customFormat="1" ht="24.75" customHeight="1" x14ac:dyDescent="0.25">
      <c r="A26" s="163"/>
      <c r="B26" s="223" t="s">
        <v>254</v>
      </c>
      <c r="C26" s="224"/>
      <c r="D26" s="224"/>
      <c r="E26" s="224"/>
      <c r="F26" s="225"/>
      <c r="G26" s="233">
        <v>93.3</v>
      </c>
      <c r="H26" s="234"/>
    </row>
    <row r="27" spans="1:8" s="151" customFormat="1" ht="25.5" hidden="1" customHeight="1" x14ac:dyDescent="0.25">
      <c r="A27" s="163"/>
      <c r="B27" s="184" t="s">
        <v>255</v>
      </c>
      <c r="C27" s="176"/>
      <c r="D27" s="177"/>
      <c r="E27" s="177"/>
      <c r="F27" s="185"/>
      <c r="G27" s="179"/>
      <c r="H27" s="175"/>
    </row>
    <row r="28" spans="1:8" s="151" customFormat="1" ht="21" customHeight="1" x14ac:dyDescent="0.25">
      <c r="A28" s="163"/>
      <c r="B28" s="223" t="s">
        <v>256</v>
      </c>
      <c r="C28" s="224"/>
      <c r="D28" s="224"/>
      <c r="E28" s="224"/>
      <c r="F28" s="225"/>
      <c r="G28" s="233">
        <v>179</v>
      </c>
      <c r="H28" s="234"/>
    </row>
    <row r="29" spans="1:8" s="151" customFormat="1" ht="23.25" customHeight="1" x14ac:dyDescent="0.25">
      <c r="A29" s="163"/>
      <c r="B29" s="223" t="s">
        <v>257</v>
      </c>
      <c r="C29" s="224"/>
      <c r="D29" s="224"/>
      <c r="E29" s="224"/>
      <c r="F29" s="225"/>
      <c r="G29" s="233">
        <v>460</v>
      </c>
      <c r="H29" s="234"/>
    </row>
    <row r="30" spans="1:8" s="151" customFormat="1" ht="23.25" customHeight="1" x14ac:dyDescent="0.25">
      <c r="A30" s="163"/>
      <c r="B30" s="223" t="s">
        <v>258</v>
      </c>
      <c r="C30" s="224"/>
      <c r="D30" s="224"/>
      <c r="E30" s="224"/>
      <c r="F30" s="225"/>
      <c r="G30" s="233">
        <v>15.2</v>
      </c>
      <c r="H30" s="234"/>
    </row>
    <row r="31" spans="1:8" s="151" customFormat="1" ht="25.95" customHeight="1" x14ac:dyDescent="0.25">
      <c r="A31" s="163"/>
      <c r="B31" s="223" t="s">
        <v>259</v>
      </c>
      <c r="C31" s="224"/>
      <c r="D31" s="224"/>
      <c r="E31" s="224"/>
      <c r="F31" s="225"/>
      <c r="G31" s="233">
        <v>97.5</v>
      </c>
      <c r="H31" s="234"/>
    </row>
    <row r="32" spans="1:8" s="151" customFormat="1" ht="22.5" customHeight="1" x14ac:dyDescent="0.25">
      <c r="A32" s="163"/>
      <c r="B32" s="223" t="s">
        <v>260</v>
      </c>
      <c r="C32" s="224"/>
      <c r="D32" s="224"/>
      <c r="E32" s="224"/>
      <c r="F32" s="225"/>
      <c r="G32" s="233">
        <v>155</v>
      </c>
      <c r="H32" s="234"/>
    </row>
    <row r="33" spans="1:8" s="151" customFormat="1" ht="22.5" customHeight="1" x14ac:dyDescent="0.25">
      <c r="A33" s="163"/>
      <c r="B33" s="223" t="s">
        <v>261</v>
      </c>
      <c r="C33" s="224"/>
      <c r="D33" s="224"/>
      <c r="E33" s="224"/>
      <c r="F33" s="225"/>
      <c r="G33" s="233">
        <v>3.7719999999999998</v>
      </c>
      <c r="H33" s="234"/>
    </row>
    <row r="34" spans="1:8" s="151" customFormat="1" ht="27" customHeight="1" x14ac:dyDescent="0.25">
      <c r="A34" s="163"/>
      <c r="B34" s="223" t="s">
        <v>262</v>
      </c>
      <c r="C34" s="224"/>
      <c r="D34" s="224"/>
      <c r="E34" s="224"/>
      <c r="F34" s="225"/>
      <c r="G34" s="233">
        <v>23.8</v>
      </c>
      <c r="H34" s="234"/>
    </row>
    <row r="35" spans="1:8" s="151" customFormat="1" ht="25.5" customHeight="1" x14ac:dyDescent="0.25">
      <c r="A35" s="163"/>
      <c r="B35" s="223" t="s">
        <v>263</v>
      </c>
      <c r="C35" s="224"/>
      <c r="D35" s="224"/>
      <c r="E35" s="224"/>
      <c r="F35" s="225"/>
      <c r="G35" s="233">
        <v>14.33</v>
      </c>
      <c r="H35" s="234"/>
    </row>
    <row r="36" spans="1:8" s="151" customFormat="1" ht="25.5" customHeight="1" x14ac:dyDescent="0.25">
      <c r="A36" s="163"/>
      <c r="B36" s="223" t="s">
        <v>264</v>
      </c>
      <c r="C36" s="224"/>
      <c r="D36" s="224"/>
      <c r="E36" s="224"/>
      <c r="F36" s="225"/>
      <c r="G36" s="233">
        <v>0.4</v>
      </c>
      <c r="H36" s="234"/>
    </row>
    <row r="37" spans="1:8" s="151" customFormat="1" ht="35.25" customHeight="1" x14ac:dyDescent="0.25">
      <c r="A37" s="163"/>
      <c r="B37" s="223" t="s">
        <v>265</v>
      </c>
      <c r="C37" s="224"/>
      <c r="D37" s="224"/>
      <c r="E37" s="224"/>
      <c r="F37" s="225"/>
      <c r="G37" s="233">
        <v>2.9</v>
      </c>
      <c r="H37" s="234"/>
    </row>
    <row r="38" spans="1:8" s="151" customFormat="1" ht="24.75" customHeight="1" x14ac:dyDescent="0.25">
      <c r="A38" s="163"/>
      <c r="B38" s="223" t="s">
        <v>266</v>
      </c>
      <c r="C38" s="224"/>
      <c r="D38" s="224"/>
      <c r="E38" s="224"/>
      <c r="F38" s="225"/>
      <c r="G38" s="233">
        <v>21.6</v>
      </c>
      <c r="H38" s="234"/>
    </row>
    <row r="39" spans="1:8" s="151" customFormat="1" ht="47.25" customHeight="1" x14ac:dyDescent="0.25">
      <c r="A39" s="163"/>
      <c r="B39" s="223" t="s">
        <v>267</v>
      </c>
      <c r="C39" s="224"/>
      <c r="D39" s="224"/>
      <c r="E39" s="224"/>
      <c r="F39" s="225"/>
      <c r="G39" s="233">
        <v>0.3</v>
      </c>
      <c r="H39" s="234"/>
    </row>
    <row r="40" spans="1:8" s="151" customFormat="1" ht="24" customHeight="1" x14ac:dyDescent="0.25">
      <c r="A40" s="163"/>
      <c r="B40" s="223" t="s">
        <v>268</v>
      </c>
      <c r="C40" s="224"/>
      <c r="D40" s="224"/>
      <c r="E40" s="224"/>
      <c r="F40" s="225"/>
      <c r="G40" s="233">
        <v>6.6</v>
      </c>
      <c r="H40" s="234"/>
    </row>
    <row r="41" spans="1:8" s="151" customFormat="1" ht="31.95" customHeight="1" x14ac:dyDescent="0.25">
      <c r="A41" s="163"/>
      <c r="B41" s="223" t="s">
        <v>269</v>
      </c>
      <c r="C41" s="224"/>
      <c r="D41" s="224"/>
      <c r="E41" s="224"/>
      <c r="F41" s="225"/>
      <c r="G41" s="233">
        <v>5.6</v>
      </c>
      <c r="H41" s="234"/>
    </row>
    <row r="42" spans="1:8" s="151" customFormat="1" ht="21" customHeight="1" x14ac:dyDescent="0.25">
      <c r="A42" s="163"/>
      <c r="B42" s="223" t="s">
        <v>270</v>
      </c>
      <c r="C42" s="224"/>
      <c r="D42" s="224"/>
      <c r="E42" s="224"/>
      <c r="F42" s="225"/>
      <c r="G42" s="233">
        <v>9.1</v>
      </c>
      <c r="H42" s="234"/>
    </row>
    <row r="43" spans="1:8" s="151" customFormat="1" ht="29.25" customHeight="1" x14ac:dyDescent="0.25">
      <c r="A43" s="163" t="s">
        <v>271</v>
      </c>
      <c r="B43" s="223" t="s">
        <v>222</v>
      </c>
      <c r="C43" s="224"/>
      <c r="D43" s="224"/>
      <c r="E43" s="224"/>
      <c r="F43" s="225"/>
      <c r="G43" s="233">
        <v>4356.2</v>
      </c>
      <c r="H43" s="234"/>
    </row>
    <row r="44" spans="1:8" s="151" customFormat="1" ht="36" customHeight="1" thickBot="1" x14ac:dyDescent="0.3">
      <c r="A44" s="163" t="s">
        <v>272</v>
      </c>
      <c r="B44" s="223" t="s">
        <v>273</v>
      </c>
      <c r="C44" s="224"/>
      <c r="D44" s="224"/>
      <c r="E44" s="224"/>
      <c r="F44" s="225"/>
      <c r="G44" s="233">
        <v>24.3</v>
      </c>
      <c r="H44" s="234"/>
    </row>
    <row r="45" spans="1:8" s="151" customFormat="1" ht="36" hidden="1" customHeight="1" x14ac:dyDescent="0.25">
      <c r="A45" s="163" t="s">
        <v>274</v>
      </c>
      <c r="B45" s="184" t="s">
        <v>275</v>
      </c>
      <c r="C45" s="176"/>
      <c r="D45" s="177"/>
      <c r="E45" s="177"/>
      <c r="F45" s="185"/>
      <c r="G45" s="179"/>
      <c r="H45" s="175"/>
    </row>
    <row r="46" spans="1:8" s="151" customFormat="1" ht="36" hidden="1" customHeight="1" x14ac:dyDescent="0.25">
      <c r="A46" s="163" t="s">
        <v>274</v>
      </c>
      <c r="B46" s="223" t="s">
        <v>276</v>
      </c>
      <c r="C46" s="224"/>
      <c r="D46" s="224"/>
      <c r="E46" s="224"/>
      <c r="F46" s="225"/>
      <c r="G46" s="233">
        <v>0</v>
      </c>
      <c r="H46" s="234"/>
    </row>
    <row r="47" spans="1:8" s="157" customFormat="1" ht="90.6" hidden="1" customHeight="1" x14ac:dyDescent="0.3">
      <c r="A47" s="164" t="s">
        <v>277</v>
      </c>
      <c r="B47" s="186" t="s">
        <v>278</v>
      </c>
      <c r="C47" s="187"/>
      <c r="D47" s="214"/>
      <c r="E47" s="214"/>
      <c r="F47" s="215"/>
      <c r="G47" s="207"/>
      <c r="H47" s="160"/>
    </row>
    <row r="48" spans="1:8" s="157" customFormat="1" ht="35.4" customHeight="1" thickBot="1" x14ac:dyDescent="0.35">
      <c r="A48" s="169" t="s">
        <v>279</v>
      </c>
      <c r="B48" s="252" t="s">
        <v>280</v>
      </c>
      <c r="C48" s="253"/>
      <c r="D48" s="253"/>
      <c r="E48" s="253"/>
      <c r="F48" s="254"/>
      <c r="G48" s="242">
        <v>86.786000000000001</v>
      </c>
      <c r="H48" s="243"/>
    </row>
    <row r="49" spans="1:8" s="157" customFormat="1" ht="28.5" customHeight="1" thickBot="1" x14ac:dyDescent="0.35">
      <c r="A49" s="170"/>
      <c r="B49" s="268" t="s">
        <v>281</v>
      </c>
      <c r="C49" s="269"/>
      <c r="D49" s="269"/>
      <c r="E49" s="269"/>
      <c r="F49" s="270"/>
      <c r="G49" s="261">
        <v>76.622</v>
      </c>
      <c r="H49" s="262"/>
    </row>
    <row r="50" spans="1:8" s="157" customFormat="1" ht="48.6" customHeight="1" thickBot="1" x14ac:dyDescent="0.35">
      <c r="A50" s="169" t="s">
        <v>282</v>
      </c>
      <c r="B50" s="255" t="s">
        <v>283</v>
      </c>
      <c r="C50" s="256"/>
      <c r="D50" s="256"/>
      <c r="E50" s="256"/>
      <c r="F50" s="257"/>
      <c r="G50" s="242">
        <f>SUM(G51)</f>
        <v>47.195</v>
      </c>
      <c r="H50" s="243"/>
    </row>
    <row r="51" spans="1:8" s="157" customFormat="1" ht="28.5" customHeight="1" thickBot="1" x14ac:dyDescent="0.35">
      <c r="A51" s="170"/>
      <c r="B51" s="271" t="s">
        <v>284</v>
      </c>
      <c r="C51" s="272"/>
      <c r="D51" s="272"/>
      <c r="E51" s="272"/>
      <c r="F51" s="273"/>
      <c r="G51" s="261">
        <v>47.195</v>
      </c>
      <c r="H51" s="262"/>
    </row>
    <row r="52" spans="1:8" s="157" customFormat="1" ht="28.5" customHeight="1" thickBot="1" x14ac:dyDescent="0.35">
      <c r="A52" s="169" t="s">
        <v>323</v>
      </c>
      <c r="B52" s="255" t="s">
        <v>285</v>
      </c>
      <c r="C52" s="256"/>
      <c r="D52" s="256"/>
      <c r="E52" s="256"/>
      <c r="F52" s="257"/>
      <c r="G52" s="242">
        <f>SUM(G53:H55)</f>
        <v>49.7</v>
      </c>
      <c r="H52" s="243"/>
    </row>
    <row r="53" spans="1:8" s="157" customFormat="1" ht="28.5" hidden="1" customHeight="1" x14ac:dyDescent="0.3">
      <c r="A53" s="191"/>
      <c r="B53" s="216" t="s">
        <v>286</v>
      </c>
      <c r="C53" s="217"/>
      <c r="D53" s="218"/>
      <c r="E53" s="218"/>
      <c r="F53" s="219"/>
      <c r="G53" s="220"/>
      <c r="H53" s="221"/>
    </row>
    <row r="54" spans="1:8" s="157" customFormat="1" ht="28.5" hidden="1" customHeight="1" x14ac:dyDescent="0.3">
      <c r="A54" s="166"/>
      <c r="B54" s="194" t="s">
        <v>287</v>
      </c>
      <c r="C54" s="195"/>
      <c r="D54" s="192"/>
      <c r="E54" s="192"/>
      <c r="F54" s="193"/>
      <c r="G54" s="180"/>
      <c r="H54" s="161"/>
    </row>
    <row r="55" spans="1:8" s="157" customFormat="1" ht="61.5" customHeight="1" thickBot="1" x14ac:dyDescent="0.35">
      <c r="A55" s="166"/>
      <c r="B55" s="265" t="s">
        <v>278</v>
      </c>
      <c r="C55" s="266"/>
      <c r="D55" s="266"/>
      <c r="E55" s="266"/>
      <c r="F55" s="267"/>
      <c r="G55" s="263">
        <v>49.7</v>
      </c>
      <c r="H55" s="264"/>
    </row>
    <row r="56" spans="1:8" s="157" customFormat="1" ht="28.5" hidden="1" customHeight="1" x14ac:dyDescent="0.3">
      <c r="A56" s="202"/>
      <c r="B56" s="203" t="s">
        <v>288</v>
      </c>
      <c r="C56" s="204"/>
      <c r="D56" s="205"/>
      <c r="E56" s="205"/>
      <c r="F56" s="206"/>
      <c r="G56" s="207"/>
      <c r="H56" s="208"/>
    </row>
    <row r="57" spans="1:8" s="158" customFormat="1" ht="28.5" customHeight="1" thickBot="1" x14ac:dyDescent="0.35">
      <c r="A57" s="165" t="s">
        <v>149</v>
      </c>
      <c r="B57" s="244" t="s">
        <v>289</v>
      </c>
      <c r="C57" s="245"/>
      <c r="D57" s="245"/>
      <c r="E57" s="245"/>
      <c r="F57" s="246"/>
      <c r="G57" s="235">
        <f>SUM(G58,G59,H61)</f>
        <v>1027.819</v>
      </c>
      <c r="H57" s="236"/>
    </row>
    <row r="58" spans="1:8" s="151" customFormat="1" ht="34.5" customHeight="1" thickBot="1" x14ac:dyDescent="0.3">
      <c r="A58" s="171" t="s">
        <v>290</v>
      </c>
      <c r="B58" s="252" t="s">
        <v>291</v>
      </c>
      <c r="C58" s="253"/>
      <c r="D58" s="253"/>
      <c r="E58" s="253"/>
      <c r="F58" s="254"/>
      <c r="G58" s="235">
        <v>411.15800000000002</v>
      </c>
      <c r="H58" s="236"/>
    </row>
    <row r="59" spans="1:8" s="157" customFormat="1" ht="49.95" customHeight="1" thickBot="1" x14ac:dyDescent="0.35">
      <c r="A59" s="169" t="s">
        <v>292</v>
      </c>
      <c r="B59" s="255" t="s">
        <v>283</v>
      </c>
      <c r="C59" s="256"/>
      <c r="D59" s="256"/>
      <c r="E59" s="256"/>
      <c r="F59" s="257"/>
      <c r="G59" s="242">
        <f>SUM(G60:G60)</f>
        <v>616.66099999999994</v>
      </c>
      <c r="H59" s="243"/>
    </row>
    <row r="60" spans="1:8" s="151" customFormat="1" ht="21.75" customHeight="1" thickBot="1" x14ac:dyDescent="0.3">
      <c r="A60" s="168"/>
      <c r="B60" s="237" t="s">
        <v>284</v>
      </c>
      <c r="C60" s="238"/>
      <c r="D60" s="238"/>
      <c r="E60" s="238"/>
      <c r="F60" s="239"/>
      <c r="G60" s="240">
        <v>616.66099999999994</v>
      </c>
      <c r="H60" s="241"/>
    </row>
    <row r="61" spans="1:8" s="151" customFormat="1" ht="49.5" hidden="1" customHeight="1" x14ac:dyDescent="0.25">
      <c r="A61" s="209" t="s">
        <v>293</v>
      </c>
      <c r="B61" s="210" t="s">
        <v>294</v>
      </c>
      <c r="C61" s="211"/>
      <c r="D61" s="188"/>
      <c r="E61" s="188"/>
      <c r="F61" s="189"/>
      <c r="G61" s="212"/>
      <c r="H61" s="213"/>
    </row>
    <row r="62" spans="1:8" s="155" customFormat="1" ht="23.25" customHeight="1" thickBot="1" x14ac:dyDescent="0.4">
      <c r="A62" s="165" t="s">
        <v>177</v>
      </c>
      <c r="B62" s="258" t="s">
        <v>295</v>
      </c>
      <c r="C62" s="259"/>
      <c r="D62" s="259"/>
      <c r="E62" s="259"/>
      <c r="F62" s="260"/>
      <c r="G62" s="235">
        <f>SUM(G63,G69,H76)</f>
        <v>1809.3500000000001</v>
      </c>
      <c r="H62" s="236"/>
    </row>
    <row r="63" spans="1:8" s="156" customFormat="1" ht="24" customHeight="1" thickBot="1" x14ac:dyDescent="0.3">
      <c r="A63" s="165" t="s">
        <v>27</v>
      </c>
      <c r="B63" s="244" t="s">
        <v>296</v>
      </c>
      <c r="C63" s="245"/>
      <c r="D63" s="245"/>
      <c r="E63" s="245"/>
      <c r="F63" s="246"/>
      <c r="G63" s="235">
        <f>SUM(G64:H68)</f>
        <v>80</v>
      </c>
      <c r="H63" s="236"/>
    </row>
    <row r="64" spans="1:8" s="151" customFormat="1" ht="25.5" customHeight="1" x14ac:dyDescent="0.25">
      <c r="A64" s="168" t="s">
        <v>297</v>
      </c>
      <c r="B64" s="237" t="s">
        <v>298</v>
      </c>
      <c r="C64" s="238"/>
      <c r="D64" s="238"/>
      <c r="E64" s="238"/>
      <c r="F64" s="239"/>
      <c r="G64" s="240">
        <v>1</v>
      </c>
      <c r="H64" s="241"/>
    </row>
    <row r="65" spans="1:8" s="151" customFormat="1" ht="25.5" hidden="1" customHeight="1" x14ac:dyDescent="0.25">
      <c r="A65" s="163" t="s">
        <v>299</v>
      </c>
      <c r="B65" s="184" t="s">
        <v>300</v>
      </c>
      <c r="C65" s="176"/>
      <c r="D65" s="177"/>
      <c r="E65" s="177"/>
      <c r="F65" s="185"/>
      <c r="G65" s="179"/>
      <c r="H65" s="175"/>
    </row>
    <row r="66" spans="1:8" s="151" customFormat="1" ht="15.6" x14ac:dyDescent="0.25">
      <c r="A66" s="163" t="s">
        <v>299</v>
      </c>
      <c r="B66" s="223" t="s">
        <v>301</v>
      </c>
      <c r="C66" s="224"/>
      <c r="D66" s="224"/>
      <c r="E66" s="224"/>
      <c r="F66" s="225"/>
      <c r="G66" s="233">
        <v>66</v>
      </c>
      <c r="H66" s="234"/>
    </row>
    <row r="67" spans="1:8" s="151" customFormat="1" ht="25.5" customHeight="1" x14ac:dyDescent="0.25">
      <c r="A67" s="163" t="s">
        <v>302</v>
      </c>
      <c r="B67" s="223" t="s">
        <v>303</v>
      </c>
      <c r="C67" s="224"/>
      <c r="D67" s="224"/>
      <c r="E67" s="224"/>
      <c r="F67" s="225"/>
      <c r="G67" s="233">
        <v>0.8</v>
      </c>
      <c r="H67" s="234"/>
    </row>
    <row r="68" spans="1:8" s="151" customFormat="1" ht="22.5" customHeight="1" thickBot="1" x14ac:dyDescent="0.3">
      <c r="A68" s="164" t="s">
        <v>304</v>
      </c>
      <c r="B68" s="249" t="s">
        <v>305</v>
      </c>
      <c r="C68" s="250"/>
      <c r="D68" s="250"/>
      <c r="E68" s="250"/>
      <c r="F68" s="251"/>
      <c r="G68" s="247">
        <v>12.2</v>
      </c>
      <c r="H68" s="248"/>
    </row>
    <row r="69" spans="1:8" s="156" customFormat="1" ht="27.75" customHeight="1" thickBot="1" x14ac:dyDescent="0.3">
      <c r="A69" s="165" t="s">
        <v>52</v>
      </c>
      <c r="B69" s="244" t="s">
        <v>306</v>
      </c>
      <c r="C69" s="245"/>
      <c r="D69" s="245"/>
      <c r="E69" s="245"/>
      <c r="F69" s="246"/>
      <c r="G69" s="235">
        <f>SUM(G70:H74)</f>
        <v>1729.3500000000001</v>
      </c>
      <c r="H69" s="236"/>
    </row>
    <row r="70" spans="1:8" s="151" customFormat="1" ht="30" customHeight="1" x14ac:dyDescent="0.25">
      <c r="A70" s="168" t="s">
        <v>307</v>
      </c>
      <c r="B70" s="237" t="s">
        <v>308</v>
      </c>
      <c r="C70" s="238"/>
      <c r="D70" s="238"/>
      <c r="E70" s="238"/>
      <c r="F70" s="239"/>
      <c r="G70" s="229">
        <v>96.99</v>
      </c>
      <c r="H70" s="230"/>
    </row>
    <row r="71" spans="1:8" s="151" customFormat="1" ht="26.25" customHeight="1" x14ac:dyDescent="0.25">
      <c r="A71" s="163" t="s">
        <v>309</v>
      </c>
      <c r="B71" s="223" t="s">
        <v>310</v>
      </c>
      <c r="C71" s="224"/>
      <c r="D71" s="224"/>
      <c r="E71" s="224"/>
      <c r="F71" s="225"/>
      <c r="G71" s="231">
        <v>244.07</v>
      </c>
      <c r="H71" s="232"/>
    </row>
    <row r="72" spans="1:8" s="151" customFormat="1" ht="30" customHeight="1" x14ac:dyDescent="0.25">
      <c r="A72" s="163" t="s">
        <v>311</v>
      </c>
      <c r="B72" s="223" t="s">
        <v>312</v>
      </c>
      <c r="C72" s="224"/>
      <c r="D72" s="224"/>
      <c r="E72" s="224"/>
      <c r="F72" s="225"/>
      <c r="G72" s="233">
        <v>827.6</v>
      </c>
      <c r="H72" s="234"/>
    </row>
    <row r="73" spans="1:8" s="151" customFormat="1" ht="30" customHeight="1" x14ac:dyDescent="0.25">
      <c r="A73" s="163" t="s">
        <v>313</v>
      </c>
      <c r="B73" s="223" t="s">
        <v>242</v>
      </c>
      <c r="C73" s="224"/>
      <c r="D73" s="224"/>
      <c r="E73" s="224"/>
      <c r="F73" s="225"/>
      <c r="G73" s="233">
        <v>3</v>
      </c>
      <c r="H73" s="234"/>
    </row>
    <row r="74" spans="1:8" s="151" customFormat="1" ht="30" customHeight="1" thickBot="1" x14ac:dyDescent="0.3">
      <c r="A74" s="163" t="s">
        <v>314</v>
      </c>
      <c r="B74" s="226" t="s">
        <v>244</v>
      </c>
      <c r="C74" s="227"/>
      <c r="D74" s="227"/>
      <c r="E74" s="227"/>
      <c r="F74" s="228"/>
      <c r="G74" s="233">
        <v>557.69000000000005</v>
      </c>
      <c r="H74" s="234"/>
    </row>
    <row r="75" spans="1:8" s="151" customFormat="1" ht="30" hidden="1" customHeight="1" x14ac:dyDescent="0.25">
      <c r="A75" s="163"/>
      <c r="B75" s="181"/>
      <c r="C75" s="182"/>
      <c r="D75" s="183"/>
      <c r="E75" s="183"/>
      <c r="F75" s="183"/>
      <c r="G75" s="174"/>
      <c r="H75" s="175"/>
    </row>
    <row r="76" spans="1:8" s="156" customFormat="1" ht="27.75" hidden="1" customHeight="1" x14ac:dyDescent="0.25">
      <c r="A76" s="196" t="s">
        <v>53</v>
      </c>
      <c r="B76" s="197" t="s">
        <v>315</v>
      </c>
      <c r="C76" s="198"/>
      <c r="D76" s="199"/>
      <c r="E76" s="199"/>
      <c r="F76" s="199"/>
      <c r="G76" s="200"/>
      <c r="H76" s="201"/>
    </row>
    <row r="77" spans="1:8" s="155" customFormat="1" ht="27.75" customHeight="1" thickBot="1" x14ac:dyDescent="0.4">
      <c r="A77" s="165" t="s">
        <v>178</v>
      </c>
      <c r="B77" s="258" t="s">
        <v>316</v>
      </c>
      <c r="C77" s="259"/>
      <c r="D77" s="259"/>
      <c r="E77" s="259"/>
      <c r="F77" s="259"/>
      <c r="G77" s="235">
        <f>SUM(G78:H79)</f>
        <v>80</v>
      </c>
      <c r="H77" s="236"/>
    </row>
    <row r="78" spans="1:8" s="155" customFormat="1" ht="23.7" hidden="1" customHeight="1" x14ac:dyDescent="0.35">
      <c r="A78" s="168" t="s">
        <v>28</v>
      </c>
      <c r="B78" s="237" t="s">
        <v>317</v>
      </c>
      <c r="C78" s="238"/>
      <c r="D78" s="238"/>
      <c r="E78" s="238"/>
      <c r="F78" s="238"/>
      <c r="G78" s="240">
        <v>0</v>
      </c>
      <c r="H78" s="241"/>
    </row>
    <row r="79" spans="1:8" s="155" customFormat="1" ht="25.95" customHeight="1" thickBot="1" x14ac:dyDescent="0.4">
      <c r="A79" s="164" t="s">
        <v>28</v>
      </c>
      <c r="B79" s="249" t="s">
        <v>318</v>
      </c>
      <c r="C79" s="250"/>
      <c r="D79" s="250"/>
      <c r="E79" s="250"/>
      <c r="F79" s="250"/>
      <c r="G79" s="247">
        <v>80</v>
      </c>
      <c r="H79" s="248"/>
    </row>
    <row r="80" spans="1:8" s="151" customFormat="1" ht="29.7" customHeight="1" thickBot="1" x14ac:dyDescent="0.3">
      <c r="A80" s="172"/>
      <c r="B80" s="258" t="s">
        <v>319</v>
      </c>
      <c r="C80" s="259"/>
      <c r="D80" s="259"/>
      <c r="E80" s="259"/>
      <c r="F80" s="259"/>
      <c r="G80" s="235">
        <f>SUM(G62,G19,G8,G77)</f>
        <v>23993.552</v>
      </c>
      <c r="H80" s="236"/>
    </row>
    <row r="81" spans="1:8" s="151" customFormat="1" ht="23.25" customHeight="1" thickBot="1" x14ac:dyDescent="0.3">
      <c r="A81" s="165" t="s">
        <v>179</v>
      </c>
      <c r="B81" s="258" t="s">
        <v>320</v>
      </c>
      <c r="C81" s="259"/>
      <c r="D81" s="259"/>
      <c r="E81" s="259"/>
      <c r="F81" s="259"/>
      <c r="G81" s="235">
        <v>3704.71</v>
      </c>
      <c r="H81" s="236"/>
    </row>
    <row r="82" spans="1:8" s="151" customFormat="1" ht="23.25" customHeight="1" thickBot="1" x14ac:dyDescent="0.3">
      <c r="A82" s="173"/>
      <c r="B82" s="281" t="s">
        <v>321</v>
      </c>
      <c r="C82" s="282"/>
      <c r="D82" s="282"/>
      <c r="E82" s="282"/>
      <c r="F82" s="282"/>
      <c r="G82" s="283">
        <f>SUM(G80:H81)</f>
        <v>27698.261999999999</v>
      </c>
      <c r="H82" s="284"/>
    </row>
    <row r="83" spans="1:8" s="159" customFormat="1" ht="36" customHeight="1" thickBot="1" x14ac:dyDescent="0.35">
      <c r="A83" s="165"/>
      <c r="B83" s="244" t="s">
        <v>322</v>
      </c>
      <c r="C83" s="245"/>
      <c r="D83" s="245"/>
      <c r="E83" s="245"/>
      <c r="F83" s="245"/>
      <c r="G83" s="235">
        <v>166.13800000000001</v>
      </c>
      <c r="H83" s="236"/>
    </row>
    <row r="84" spans="1:8" x14ac:dyDescent="0.25">
      <c r="E84" s="11"/>
      <c r="F84" s="11"/>
      <c r="G84" s="11"/>
      <c r="H84" s="11"/>
    </row>
    <row r="85" spans="1:8" x14ac:dyDescent="0.25">
      <c r="E85" s="11"/>
      <c r="F85" s="11"/>
      <c r="G85" s="11"/>
      <c r="H85" s="11"/>
    </row>
    <row r="86" spans="1:8" ht="17.25" customHeight="1" x14ac:dyDescent="0.3">
      <c r="A86" s="317" t="s">
        <v>221</v>
      </c>
      <c r="B86" s="317"/>
      <c r="C86" s="317"/>
      <c r="D86" s="317"/>
      <c r="E86" s="317"/>
      <c r="F86" s="317"/>
      <c r="G86" s="317"/>
      <c r="H86" s="317"/>
    </row>
    <row r="87" spans="1:8" ht="13.2" customHeight="1" x14ac:dyDescent="0.3">
      <c r="B87" s="33"/>
      <c r="C87" s="33"/>
      <c r="D87" s="33"/>
      <c r="E87" s="33"/>
      <c r="F87" s="33"/>
      <c r="G87" s="33"/>
      <c r="H87" s="33"/>
    </row>
    <row r="88" spans="1:8" ht="12.6" thickBot="1" x14ac:dyDescent="0.3">
      <c r="H88" s="13" t="s">
        <v>162</v>
      </c>
    </row>
    <row r="89" spans="1:8" s="2" customFormat="1" ht="14.25" customHeight="1" x14ac:dyDescent="0.25">
      <c r="A89" s="318" t="s">
        <v>102</v>
      </c>
      <c r="B89" s="321" t="s">
        <v>25</v>
      </c>
      <c r="C89" s="324" t="s">
        <v>6</v>
      </c>
      <c r="D89" s="327" t="s">
        <v>36</v>
      </c>
      <c r="E89" s="330" t="s">
        <v>0</v>
      </c>
      <c r="F89" s="333" t="s">
        <v>5</v>
      </c>
      <c r="G89" s="334"/>
      <c r="H89" s="335"/>
    </row>
    <row r="90" spans="1:8" s="3" customFormat="1" ht="23.4" customHeight="1" x14ac:dyDescent="0.25">
      <c r="A90" s="319"/>
      <c r="B90" s="322"/>
      <c r="C90" s="325"/>
      <c r="D90" s="328"/>
      <c r="E90" s="331"/>
      <c r="F90" s="336" t="s">
        <v>1</v>
      </c>
      <c r="G90" s="337"/>
      <c r="H90" s="338" t="s">
        <v>38</v>
      </c>
    </row>
    <row r="91" spans="1:8" s="3" customFormat="1" ht="12" customHeight="1" x14ac:dyDescent="0.25">
      <c r="A91" s="319"/>
      <c r="B91" s="322"/>
      <c r="C91" s="325"/>
      <c r="D91" s="328"/>
      <c r="E91" s="331"/>
      <c r="F91" s="341" t="s">
        <v>0</v>
      </c>
      <c r="G91" s="343" t="s">
        <v>37</v>
      </c>
      <c r="H91" s="339"/>
    </row>
    <row r="92" spans="1:8" ht="27" customHeight="1" thickBot="1" x14ac:dyDescent="0.3">
      <c r="A92" s="320"/>
      <c r="B92" s="323"/>
      <c r="C92" s="326"/>
      <c r="D92" s="329"/>
      <c r="E92" s="332"/>
      <c r="F92" s="342"/>
      <c r="G92" s="344"/>
      <c r="H92" s="340"/>
    </row>
    <row r="93" spans="1:8" ht="15" customHeight="1" x14ac:dyDescent="0.25">
      <c r="A93" s="37">
        <v>1</v>
      </c>
      <c r="B93" s="38">
        <v>2</v>
      </c>
      <c r="C93" s="39">
        <v>3</v>
      </c>
      <c r="D93" s="39">
        <v>4</v>
      </c>
      <c r="E93" s="40">
        <v>5</v>
      </c>
      <c r="F93" s="41">
        <v>6</v>
      </c>
      <c r="G93" s="42">
        <v>7</v>
      </c>
      <c r="H93" s="16">
        <v>8</v>
      </c>
    </row>
    <row r="94" spans="1:8" ht="26.25" customHeight="1" x14ac:dyDescent="0.25">
      <c r="A94" s="43"/>
      <c r="B94" s="44" t="s">
        <v>20</v>
      </c>
      <c r="C94" s="45" t="s">
        <v>175</v>
      </c>
      <c r="D94" s="46"/>
      <c r="E94" s="129">
        <f>SUM(H94,F94)</f>
        <v>74.38</v>
      </c>
      <c r="F94" s="130">
        <f>SUM(F96)</f>
        <v>74.38</v>
      </c>
      <c r="G94" s="131">
        <f>SUM(G96)</f>
        <v>65.2</v>
      </c>
      <c r="H94" s="99">
        <f>SUM(H96)</f>
        <v>0</v>
      </c>
    </row>
    <row r="95" spans="1:8" ht="18" customHeight="1" x14ac:dyDescent="0.25">
      <c r="A95" s="47"/>
      <c r="B95" s="8" t="s">
        <v>2</v>
      </c>
      <c r="C95" s="46"/>
      <c r="D95" s="46"/>
      <c r="E95" s="96"/>
      <c r="F95" s="97"/>
      <c r="G95" s="98"/>
      <c r="H95" s="99"/>
    </row>
    <row r="96" spans="1:8" ht="29.4" customHeight="1" x14ac:dyDescent="0.25">
      <c r="A96" s="46" t="s">
        <v>23</v>
      </c>
      <c r="B96" s="48" t="s">
        <v>35</v>
      </c>
      <c r="C96" s="46" t="s">
        <v>22</v>
      </c>
      <c r="D96" s="46" t="s">
        <v>130</v>
      </c>
      <c r="E96" s="96">
        <f>SUM(F96,H96)</f>
        <v>74.38</v>
      </c>
      <c r="F96" s="97">
        <v>74.38</v>
      </c>
      <c r="G96" s="98">
        <v>65.2</v>
      </c>
      <c r="H96" s="99"/>
    </row>
    <row r="97" spans="1:8" s="4" customFormat="1" ht="25.2" customHeight="1" x14ac:dyDescent="0.25">
      <c r="A97" s="49"/>
      <c r="B97" s="50" t="s">
        <v>21</v>
      </c>
      <c r="C97" s="45" t="s">
        <v>176</v>
      </c>
      <c r="D97" s="120"/>
      <c r="E97" s="121">
        <f>SUM(H97,F97)</f>
        <v>13785.199999999997</v>
      </c>
      <c r="F97" s="122">
        <f>SUM(F99:F130)</f>
        <v>8891.0029999999988</v>
      </c>
      <c r="G97" s="123">
        <f>SUM(G99:G130)</f>
        <v>2770.462</v>
      </c>
      <c r="H97" s="124">
        <f>SUM(H99:H130)</f>
        <v>4894.1969999999992</v>
      </c>
    </row>
    <row r="98" spans="1:8" s="4" customFormat="1" ht="15" customHeight="1" x14ac:dyDescent="0.25">
      <c r="A98" s="51"/>
      <c r="B98" s="8" t="s">
        <v>2</v>
      </c>
      <c r="C98" s="46"/>
      <c r="D98" s="45"/>
      <c r="E98" s="96"/>
      <c r="F98" s="97"/>
      <c r="G98" s="98"/>
      <c r="H98" s="99"/>
    </row>
    <row r="99" spans="1:8" s="4" customFormat="1" ht="23.4" customHeight="1" x14ac:dyDescent="0.25">
      <c r="A99" s="345" t="s">
        <v>23</v>
      </c>
      <c r="B99" s="309" t="s">
        <v>35</v>
      </c>
      <c r="C99" s="46" t="s">
        <v>148</v>
      </c>
      <c r="D99" s="46" t="s">
        <v>130</v>
      </c>
      <c r="E99" s="96">
        <f t="shared" ref="E99:E131" si="0">SUM(F99,H99)</f>
        <v>2682.2719999999999</v>
      </c>
      <c r="F99" s="97">
        <f>2201.343+166.629</f>
        <v>2367.9719999999998</v>
      </c>
      <c r="G99" s="98">
        <v>1578.37</v>
      </c>
      <c r="H99" s="99">
        <v>314.3</v>
      </c>
    </row>
    <row r="100" spans="1:8" s="4" customFormat="1" ht="23.4" customHeight="1" x14ac:dyDescent="0.25">
      <c r="A100" s="346"/>
      <c r="B100" s="314"/>
      <c r="C100" s="46" t="s">
        <v>149</v>
      </c>
      <c r="D100" s="46" t="s">
        <v>39</v>
      </c>
      <c r="E100" s="96">
        <f t="shared" si="0"/>
        <v>149.99</v>
      </c>
      <c r="F100" s="97">
        <v>149.99</v>
      </c>
      <c r="G100" s="98">
        <v>135.08600000000001</v>
      </c>
      <c r="H100" s="99"/>
    </row>
    <row r="101" spans="1:8" s="4" customFormat="1" ht="23.4" customHeight="1" x14ac:dyDescent="0.25">
      <c r="A101" s="346"/>
      <c r="B101" s="314"/>
      <c r="C101" s="46" t="s">
        <v>219</v>
      </c>
      <c r="D101" s="46" t="s">
        <v>190</v>
      </c>
      <c r="E101" s="96">
        <f t="shared" si="0"/>
        <v>7.4539999999999997</v>
      </c>
      <c r="F101" s="97">
        <v>7.4539999999999997</v>
      </c>
      <c r="G101" s="98"/>
      <c r="H101" s="99"/>
    </row>
    <row r="102" spans="1:8" s="4" customFormat="1" ht="23.4" hidden="1" customHeight="1" x14ac:dyDescent="0.25">
      <c r="A102" s="347"/>
      <c r="B102" s="310"/>
      <c r="C102" s="46"/>
      <c r="D102" s="46"/>
      <c r="E102" s="96">
        <f t="shared" si="0"/>
        <v>0</v>
      </c>
      <c r="F102" s="97"/>
      <c r="G102" s="98"/>
      <c r="H102" s="99"/>
    </row>
    <row r="103" spans="1:8" s="4" customFormat="1" ht="24.6" customHeight="1" x14ac:dyDescent="0.25">
      <c r="A103" s="345" t="s">
        <v>26</v>
      </c>
      <c r="B103" s="309" t="s">
        <v>42</v>
      </c>
      <c r="C103" s="46" t="s">
        <v>150</v>
      </c>
      <c r="D103" s="46" t="s">
        <v>130</v>
      </c>
      <c r="E103" s="96">
        <f t="shared" si="0"/>
        <v>40.299999999999997</v>
      </c>
      <c r="F103" s="97">
        <v>40.299999999999997</v>
      </c>
      <c r="G103" s="98"/>
      <c r="H103" s="99"/>
    </row>
    <row r="104" spans="1:8" s="4" customFormat="1" ht="24.6" hidden="1" customHeight="1" x14ac:dyDescent="0.25">
      <c r="A104" s="346"/>
      <c r="B104" s="314"/>
      <c r="C104" s="46"/>
      <c r="D104" s="52" t="s">
        <v>140</v>
      </c>
      <c r="E104" s="96">
        <f>F104</f>
        <v>0</v>
      </c>
      <c r="F104" s="97"/>
      <c r="G104" s="98"/>
      <c r="H104" s="99"/>
    </row>
    <row r="105" spans="1:8" s="4" customFormat="1" ht="24.6" customHeight="1" x14ac:dyDescent="0.25">
      <c r="A105" s="346"/>
      <c r="B105" s="314"/>
      <c r="C105" s="46" t="s">
        <v>151</v>
      </c>
      <c r="D105" s="46" t="s">
        <v>190</v>
      </c>
      <c r="E105" s="96">
        <f>F105</f>
        <v>71.225999999999999</v>
      </c>
      <c r="F105" s="97">
        <v>71.225999999999999</v>
      </c>
      <c r="G105" s="98">
        <v>55.889000000000003</v>
      </c>
      <c r="H105" s="99"/>
    </row>
    <row r="106" spans="1:8" s="4" customFormat="1" ht="24.6" customHeight="1" x14ac:dyDescent="0.25">
      <c r="A106" s="347"/>
      <c r="B106" s="310"/>
      <c r="C106" s="46" t="s">
        <v>152</v>
      </c>
      <c r="D106" s="46" t="s">
        <v>50</v>
      </c>
      <c r="E106" s="96">
        <f t="shared" si="0"/>
        <v>31.4</v>
      </c>
      <c r="F106" s="97">
        <v>31.4</v>
      </c>
      <c r="G106" s="98">
        <v>30.95</v>
      </c>
      <c r="H106" s="99"/>
    </row>
    <row r="107" spans="1:8" s="4" customFormat="1" ht="24.6" customHeight="1" x14ac:dyDescent="0.25">
      <c r="A107" s="311" t="s">
        <v>32</v>
      </c>
      <c r="B107" s="309" t="s">
        <v>43</v>
      </c>
      <c r="C107" s="46" t="s">
        <v>153</v>
      </c>
      <c r="D107" s="46" t="s">
        <v>130</v>
      </c>
      <c r="E107" s="96">
        <f t="shared" si="0"/>
        <v>126.374</v>
      </c>
      <c r="F107" s="97">
        <v>74.774000000000001</v>
      </c>
      <c r="G107" s="98">
        <f>16.387</f>
        <v>16.387</v>
      </c>
      <c r="H107" s="99">
        <v>51.6</v>
      </c>
    </row>
    <row r="108" spans="1:8" s="4" customFormat="1" ht="24.6" customHeight="1" x14ac:dyDescent="0.25">
      <c r="A108" s="312"/>
      <c r="B108" s="310"/>
      <c r="C108" s="46" t="s">
        <v>154</v>
      </c>
      <c r="D108" s="46" t="s">
        <v>190</v>
      </c>
      <c r="E108" s="96">
        <f t="shared" si="0"/>
        <v>4.0289999999999999</v>
      </c>
      <c r="F108" s="97">
        <v>4.0289999999999999</v>
      </c>
      <c r="G108" s="98">
        <v>1</v>
      </c>
      <c r="H108" s="99"/>
    </row>
    <row r="109" spans="1:8" s="4" customFormat="1" ht="27.75" customHeight="1" x14ac:dyDescent="0.25">
      <c r="A109" s="53" t="s">
        <v>31</v>
      </c>
      <c r="B109" s="54" t="s">
        <v>44</v>
      </c>
      <c r="C109" s="46" t="s">
        <v>155</v>
      </c>
      <c r="D109" s="46" t="s">
        <v>130</v>
      </c>
      <c r="E109" s="96">
        <f t="shared" si="0"/>
        <v>61.9</v>
      </c>
      <c r="F109" s="97">
        <v>61.9</v>
      </c>
      <c r="G109" s="98"/>
      <c r="H109" s="99"/>
    </row>
    <row r="110" spans="1:8" s="4" customFormat="1" ht="24.6" customHeight="1" x14ac:dyDescent="0.25">
      <c r="A110" s="53" t="s">
        <v>40</v>
      </c>
      <c r="B110" s="54" t="s">
        <v>129</v>
      </c>
      <c r="C110" s="46" t="s">
        <v>156</v>
      </c>
      <c r="D110" s="46" t="s">
        <v>130</v>
      </c>
      <c r="E110" s="96">
        <f t="shared" si="0"/>
        <v>228.15</v>
      </c>
      <c r="F110" s="97">
        <v>148.15</v>
      </c>
      <c r="G110" s="98"/>
      <c r="H110" s="99">
        <v>80</v>
      </c>
    </row>
    <row r="111" spans="1:8" s="4" customFormat="1" ht="24.6" customHeight="1" x14ac:dyDescent="0.25">
      <c r="A111" s="311" t="s">
        <v>24</v>
      </c>
      <c r="B111" s="309" t="s">
        <v>45</v>
      </c>
      <c r="C111" s="46" t="s">
        <v>157</v>
      </c>
      <c r="D111" s="46" t="s">
        <v>130</v>
      </c>
      <c r="E111" s="96">
        <f t="shared" si="0"/>
        <v>2243.895</v>
      </c>
      <c r="F111" s="97">
        <v>1597.971</v>
      </c>
      <c r="G111" s="98"/>
      <c r="H111" s="99">
        <v>645.92399999999998</v>
      </c>
    </row>
    <row r="112" spans="1:8" s="4" customFormat="1" ht="24.6" customHeight="1" x14ac:dyDescent="0.25">
      <c r="A112" s="313"/>
      <c r="B112" s="314"/>
      <c r="C112" s="46" t="s">
        <v>158</v>
      </c>
      <c r="D112" s="46" t="s">
        <v>39</v>
      </c>
      <c r="E112" s="96">
        <f t="shared" si="0"/>
        <v>136.97999999999999</v>
      </c>
      <c r="F112" s="97">
        <v>136.97999999999999</v>
      </c>
      <c r="G112" s="98"/>
      <c r="H112" s="99"/>
    </row>
    <row r="113" spans="1:8" s="4" customFormat="1" ht="24.6" customHeight="1" x14ac:dyDescent="0.25">
      <c r="A113" s="313"/>
      <c r="B113" s="314"/>
      <c r="C113" s="46" t="s">
        <v>159</v>
      </c>
      <c r="D113" s="46" t="s">
        <v>190</v>
      </c>
      <c r="E113" s="96">
        <f t="shared" si="0"/>
        <v>44.187999999999995</v>
      </c>
      <c r="F113" s="97"/>
      <c r="G113" s="98"/>
      <c r="H113" s="99">
        <f>2.196+41.992</f>
        <v>44.187999999999995</v>
      </c>
    </row>
    <row r="114" spans="1:8" s="4" customFormat="1" ht="24.6" customHeight="1" x14ac:dyDescent="0.25">
      <c r="A114" s="312"/>
      <c r="B114" s="310"/>
      <c r="C114" s="55" t="s">
        <v>160</v>
      </c>
      <c r="D114" s="46" t="s">
        <v>140</v>
      </c>
      <c r="E114" s="96">
        <f t="shared" si="0"/>
        <v>191.42099999999999</v>
      </c>
      <c r="F114" s="97"/>
      <c r="G114" s="98"/>
      <c r="H114" s="99">
        <v>191.42099999999999</v>
      </c>
    </row>
    <row r="115" spans="1:8" s="4" customFormat="1" ht="24.6" customHeight="1" x14ac:dyDescent="0.25">
      <c r="A115" s="311" t="s">
        <v>34</v>
      </c>
      <c r="B115" s="348" t="s">
        <v>46</v>
      </c>
      <c r="C115" s="46" t="s">
        <v>161</v>
      </c>
      <c r="D115" s="46" t="s">
        <v>130</v>
      </c>
      <c r="E115" s="96">
        <f t="shared" si="0"/>
        <v>65.957999999999998</v>
      </c>
      <c r="F115" s="97">
        <v>5.9580000000000002</v>
      </c>
      <c r="G115" s="98"/>
      <c r="H115" s="99">
        <v>60</v>
      </c>
    </row>
    <row r="116" spans="1:8" s="4" customFormat="1" ht="24.6" customHeight="1" x14ac:dyDescent="0.25">
      <c r="A116" s="313"/>
      <c r="B116" s="349"/>
      <c r="C116" s="46" t="s">
        <v>109</v>
      </c>
      <c r="D116" s="46" t="s">
        <v>39</v>
      </c>
      <c r="E116" s="96">
        <f t="shared" si="0"/>
        <v>158.77199999999999</v>
      </c>
      <c r="F116" s="97">
        <v>158.77199999999999</v>
      </c>
      <c r="G116" s="98">
        <v>3.29</v>
      </c>
      <c r="H116" s="99"/>
    </row>
    <row r="117" spans="1:8" s="4" customFormat="1" ht="22.5" customHeight="1" x14ac:dyDescent="0.25">
      <c r="A117" s="313"/>
      <c r="B117" s="349"/>
      <c r="C117" s="46" t="s">
        <v>133</v>
      </c>
      <c r="D117" s="55" t="s">
        <v>51</v>
      </c>
      <c r="E117" s="96">
        <f t="shared" si="0"/>
        <v>12.59</v>
      </c>
      <c r="F117" s="97">
        <v>12.59</v>
      </c>
      <c r="G117" s="98"/>
      <c r="H117" s="99"/>
    </row>
    <row r="118" spans="1:8" s="4" customFormat="1" ht="22.5" customHeight="1" x14ac:dyDescent="0.25">
      <c r="A118" s="312"/>
      <c r="B118" s="350"/>
      <c r="C118" s="46" t="s">
        <v>134</v>
      </c>
      <c r="D118" s="55" t="s">
        <v>190</v>
      </c>
      <c r="E118" s="96">
        <f t="shared" si="0"/>
        <v>9</v>
      </c>
      <c r="F118" s="97">
        <v>9</v>
      </c>
      <c r="G118" s="98"/>
      <c r="H118" s="99"/>
    </row>
    <row r="119" spans="1:8" s="4" customFormat="1" ht="27.6" customHeight="1" x14ac:dyDescent="0.25">
      <c r="A119" s="311" t="s">
        <v>33</v>
      </c>
      <c r="B119" s="309" t="s">
        <v>47</v>
      </c>
      <c r="C119" s="46" t="s">
        <v>136</v>
      </c>
      <c r="D119" s="46" t="s">
        <v>130</v>
      </c>
      <c r="E119" s="96">
        <f t="shared" si="0"/>
        <v>2528.681</v>
      </c>
      <c r="F119" s="97">
        <v>2433.5410000000002</v>
      </c>
      <c r="G119" s="98">
        <v>854.13</v>
      </c>
      <c r="H119" s="99">
        <v>95.14</v>
      </c>
    </row>
    <row r="120" spans="1:8" s="4" customFormat="1" ht="27.6" customHeight="1" x14ac:dyDescent="0.25">
      <c r="A120" s="313"/>
      <c r="B120" s="314"/>
      <c r="C120" s="46" t="s">
        <v>139</v>
      </c>
      <c r="D120" s="46" t="s">
        <v>51</v>
      </c>
      <c r="E120" s="96">
        <f t="shared" si="0"/>
        <v>91.658000000000001</v>
      </c>
      <c r="F120" s="97">
        <v>54.481000000000002</v>
      </c>
      <c r="G120" s="98"/>
      <c r="H120" s="99">
        <v>37.177</v>
      </c>
    </row>
    <row r="121" spans="1:8" s="4" customFormat="1" ht="27.6" customHeight="1" x14ac:dyDescent="0.25">
      <c r="A121" s="313"/>
      <c r="B121" s="314"/>
      <c r="C121" s="46" t="s">
        <v>204</v>
      </c>
      <c r="D121" s="46" t="s">
        <v>190</v>
      </c>
      <c r="E121" s="96">
        <f t="shared" si="0"/>
        <v>36.106000000000002</v>
      </c>
      <c r="F121" s="97"/>
      <c r="G121" s="98"/>
      <c r="H121" s="99">
        <v>36.106000000000002</v>
      </c>
    </row>
    <row r="122" spans="1:8" s="4" customFormat="1" ht="27.6" customHeight="1" x14ac:dyDescent="0.25">
      <c r="A122" s="312"/>
      <c r="B122" s="310"/>
      <c r="C122" s="46" t="s">
        <v>205</v>
      </c>
      <c r="D122" s="46" t="s">
        <v>140</v>
      </c>
      <c r="E122" s="96">
        <f t="shared" si="0"/>
        <v>127.14400000000001</v>
      </c>
      <c r="F122" s="97"/>
      <c r="G122" s="98"/>
      <c r="H122" s="99">
        <v>127.14400000000001</v>
      </c>
    </row>
    <row r="123" spans="1:8" s="4" customFormat="1" ht="27.6" customHeight="1" x14ac:dyDescent="0.25">
      <c r="A123" s="311" t="s">
        <v>41</v>
      </c>
      <c r="B123" s="309" t="s">
        <v>48</v>
      </c>
      <c r="C123" s="46" t="s">
        <v>206</v>
      </c>
      <c r="D123" s="46" t="s">
        <v>130</v>
      </c>
      <c r="E123" s="96">
        <f t="shared" si="0"/>
        <v>817.91800000000001</v>
      </c>
      <c r="F123" s="97">
        <v>99.79</v>
      </c>
      <c r="G123" s="98">
        <v>2.6</v>
      </c>
      <c r="H123" s="99">
        <f>568.128+150</f>
        <v>718.12800000000004</v>
      </c>
    </row>
    <row r="124" spans="1:8" s="4" customFormat="1" ht="27.6" customHeight="1" x14ac:dyDescent="0.25">
      <c r="A124" s="313"/>
      <c r="B124" s="314"/>
      <c r="C124" s="46" t="s">
        <v>208</v>
      </c>
      <c r="D124" s="46" t="s">
        <v>39</v>
      </c>
      <c r="E124" s="96">
        <f t="shared" si="0"/>
        <v>93.75</v>
      </c>
      <c r="F124" s="97">
        <v>93.75</v>
      </c>
      <c r="G124" s="98">
        <v>91.76</v>
      </c>
      <c r="H124" s="99"/>
    </row>
    <row r="125" spans="1:8" s="4" customFormat="1" ht="27.6" customHeight="1" x14ac:dyDescent="0.25">
      <c r="A125" s="313"/>
      <c r="B125" s="314"/>
      <c r="C125" s="46" t="s">
        <v>209</v>
      </c>
      <c r="D125" s="30" t="s">
        <v>190</v>
      </c>
      <c r="E125" s="96">
        <f t="shared" si="0"/>
        <v>398.83600000000001</v>
      </c>
      <c r="F125" s="97">
        <v>1.9279999999999999</v>
      </c>
      <c r="G125" s="98">
        <v>1</v>
      </c>
      <c r="H125" s="99">
        <v>396.90800000000002</v>
      </c>
    </row>
    <row r="126" spans="1:8" s="4" customFormat="1" ht="27.6" customHeight="1" x14ac:dyDescent="0.25">
      <c r="A126" s="313"/>
      <c r="B126" s="314"/>
      <c r="C126" s="46" t="s">
        <v>213</v>
      </c>
      <c r="D126" s="30" t="s">
        <v>140</v>
      </c>
      <c r="E126" s="96">
        <f t="shared" si="0"/>
        <v>143.16399999999999</v>
      </c>
      <c r="F126" s="97"/>
      <c r="G126" s="98"/>
      <c r="H126" s="99">
        <v>143.16399999999999</v>
      </c>
    </row>
    <row r="127" spans="1:8" s="4" customFormat="1" ht="27.6" hidden="1" customHeight="1" x14ac:dyDescent="0.25">
      <c r="A127" s="312"/>
      <c r="B127" s="310"/>
      <c r="C127" s="46"/>
      <c r="D127" s="30" t="s">
        <v>108</v>
      </c>
      <c r="E127" s="96">
        <f t="shared" si="0"/>
        <v>0</v>
      </c>
      <c r="F127" s="97"/>
      <c r="G127" s="98"/>
      <c r="H127" s="99"/>
    </row>
    <row r="128" spans="1:8" s="4" customFormat="1" ht="27.6" customHeight="1" x14ac:dyDescent="0.25">
      <c r="A128" s="311" t="s">
        <v>7</v>
      </c>
      <c r="B128" s="309" t="s">
        <v>49</v>
      </c>
      <c r="C128" s="46" t="s">
        <v>215</v>
      </c>
      <c r="D128" s="30" t="s">
        <v>130</v>
      </c>
      <c r="E128" s="96">
        <f>SUM(F128,H128)</f>
        <v>3157.1120000000001</v>
      </c>
      <c r="F128" s="97">
        <f>1311.818+17.229</f>
        <v>1329.047</v>
      </c>
      <c r="G128" s="98"/>
      <c r="H128" s="99">
        <f>1829.156+148.909-150</f>
        <v>1828.0650000000001</v>
      </c>
    </row>
    <row r="129" spans="1:8" s="4" customFormat="1" ht="27.6" customHeight="1" x14ac:dyDescent="0.25">
      <c r="A129" s="313"/>
      <c r="B129" s="314"/>
      <c r="C129" s="46" t="s">
        <v>216</v>
      </c>
      <c r="D129" s="30" t="s">
        <v>140</v>
      </c>
      <c r="E129" s="96">
        <f t="shared" si="0"/>
        <v>124.932</v>
      </c>
      <c r="F129" s="97"/>
      <c r="G129" s="98"/>
      <c r="H129" s="99">
        <v>124.932</v>
      </c>
    </row>
    <row r="130" spans="1:8" s="4" customFormat="1" ht="27.6" hidden="1" customHeight="1" x14ac:dyDescent="0.25">
      <c r="A130" s="312"/>
      <c r="B130" s="310"/>
      <c r="C130" s="46"/>
      <c r="D130" s="46" t="s">
        <v>190</v>
      </c>
      <c r="E130" s="96">
        <f t="shared" si="0"/>
        <v>0</v>
      </c>
      <c r="F130" s="97"/>
      <c r="G130" s="98"/>
      <c r="H130" s="99"/>
    </row>
    <row r="131" spans="1:8" s="4" customFormat="1" ht="28.95" customHeight="1" x14ac:dyDescent="0.25">
      <c r="A131" s="56"/>
      <c r="B131" s="57" t="s">
        <v>8</v>
      </c>
      <c r="C131" s="58" t="s">
        <v>177</v>
      </c>
      <c r="D131" s="59"/>
      <c r="E131" s="121">
        <f t="shared" si="0"/>
        <v>766.33799999999985</v>
      </c>
      <c r="F131" s="122">
        <f>SUM(F133:F139)</f>
        <v>764.73799999999983</v>
      </c>
      <c r="G131" s="123">
        <f>SUM(G133:G139)</f>
        <v>652.26</v>
      </c>
      <c r="H131" s="124">
        <f>SUM(H133:H139)</f>
        <v>1.6</v>
      </c>
    </row>
    <row r="132" spans="1:8" s="4" customFormat="1" ht="18" customHeight="1" x14ac:dyDescent="0.25">
      <c r="A132" s="51"/>
      <c r="B132" s="8" t="s">
        <v>2</v>
      </c>
      <c r="C132" s="34"/>
      <c r="D132" s="59"/>
      <c r="E132" s="96"/>
      <c r="F132" s="97"/>
      <c r="G132" s="98"/>
      <c r="H132" s="99"/>
    </row>
    <row r="133" spans="1:8" s="4" customFormat="1" ht="27" customHeight="1" x14ac:dyDescent="0.25">
      <c r="A133" s="345" t="s">
        <v>26</v>
      </c>
      <c r="B133" s="309" t="s">
        <v>42</v>
      </c>
      <c r="C133" s="59" t="s">
        <v>27</v>
      </c>
      <c r="D133" s="46" t="s">
        <v>130</v>
      </c>
      <c r="E133" s="96">
        <f>SUM(F133,H133)</f>
        <v>287.25</v>
      </c>
      <c r="F133" s="97">
        <f>26.7+258.95</f>
        <v>285.64999999999998</v>
      </c>
      <c r="G133" s="98">
        <v>206.99</v>
      </c>
      <c r="H133" s="99">
        <v>1.6</v>
      </c>
    </row>
    <row r="134" spans="1:8" s="4" customFormat="1" ht="21.75" customHeight="1" x14ac:dyDescent="0.25">
      <c r="A134" s="346"/>
      <c r="B134" s="314"/>
      <c r="C134" s="59" t="s">
        <v>52</v>
      </c>
      <c r="D134" s="46" t="s">
        <v>50</v>
      </c>
      <c r="E134" s="96">
        <f>SUM(F134,H134)</f>
        <v>462.18</v>
      </c>
      <c r="F134" s="97">
        <v>462.18</v>
      </c>
      <c r="G134" s="98">
        <v>445.27</v>
      </c>
      <c r="H134" s="99"/>
    </row>
    <row r="135" spans="1:8" s="4" customFormat="1" ht="21.75" hidden="1" customHeight="1" x14ac:dyDescent="0.25">
      <c r="A135" s="347"/>
      <c r="B135" s="310"/>
      <c r="C135" s="59"/>
      <c r="D135" s="46" t="s">
        <v>140</v>
      </c>
      <c r="E135" s="96"/>
      <c r="F135" s="97"/>
      <c r="G135" s="98"/>
      <c r="H135" s="99"/>
    </row>
    <row r="136" spans="1:8" s="4" customFormat="1" ht="21.75" customHeight="1" x14ac:dyDescent="0.25">
      <c r="A136" s="64" t="s">
        <v>24</v>
      </c>
      <c r="B136" s="65" t="s">
        <v>45</v>
      </c>
      <c r="C136" s="59" t="s">
        <v>53</v>
      </c>
      <c r="D136" s="46" t="s">
        <v>39</v>
      </c>
      <c r="E136" s="96">
        <f t="shared" ref="E136:E137" si="1">SUM(F136,H136)</f>
        <v>14.728</v>
      </c>
      <c r="F136" s="97">
        <v>14.728</v>
      </c>
      <c r="G136" s="98"/>
      <c r="H136" s="99"/>
    </row>
    <row r="137" spans="1:8" s="4" customFormat="1" ht="21.75" customHeight="1" x14ac:dyDescent="0.25">
      <c r="A137" s="311" t="s">
        <v>33</v>
      </c>
      <c r="B137" s="309" t="s">
        <v>47</v>
      </c>
      <c r="C137" s="59" t="s">
        <v>54</v>
      </c>
      <c r="D137" s="46" t="s">
        <v>130</v>
      </c>
      <c r="E137" s="96">
        <f t="shared" si="1"/>
        <v>2.1800000000000002</v>
      </c>
      <c r="F137" s="97">
        <v>2.1800000000000002</v>
      </c>
      <c r="G137" s="98"/>
      <c r="H137" s="99"/>
    </row>
    <row r="138" spans="1:8" s="4" customFormat="1" ht="21.75" hidden="1" customHeight="1" x14ac:dyDescent="0.25">
      <c r="A138" s="312"/>
      <c r="B138" s="310"/>
      <c r="C138" s="59"/>
      <c r="D138" s="46" t="s">
        <v>51</v>
      </c>
      <c r="E138" s="96"/>
      <c r="F138" s="97"/>
      <c r="G138" s="98"/>
      <c r="H138" s="99"/>
    </row>
    <row r="139" spans="1:8" s="7" customFormat="1" ht="24" hidden="1" customHeight="1" x14ac:dyDescent="0.25">
      <c r="A139" s="53" t="s">
        <v>7</v>
      </c>
      <c r="B139" s="54" t="s">
        <v>49</v>
      </c>
      <c r="C139" s="59"/>
      <c r="D139" s="46" t="s">
        <v>130</v>
      </c>
      <c r="E139" s="96">
        <f>SUM(F139,H139)</f>
        <v>0</v>
      </c>
      <c r="F139" s="97"/>
      <c r="G139" s="98"/>
      <c r="H139" s="99"/>
    </row>
    <row r="140" spans="1:8" ht="27" customHeight="1" x14ac:dyDescent="0.25">
      <c r="A140" s="56"/>
      <c r="B140" s="57" t="s">
        <v>146</v>
      </c>
      <c r="C140" s="58" t="s">
        <v>178</v>
      </c>
      <c r="D140" s="59"/>
      <c r="E140" s="121">
        <f>SUM(F140,H140)</f>
        <v>930.79500000000007</v>
      </c>
      <c r="F140" s="122">
        <f>SUM(F142:F147)</f>
        <v>928.55500000000006</v>
      </c>
      <c r="G140" s="123">
        <f>SUM(G142:G147)</f>
        <v>768.95</v>
      </c>
      <c r="H140" s="124">
        <f>SUM(H142:H147)</f>
        <v>2.2400000000000002</v>
      </c>
    </row>
    <row r="141" spans="1:8" s="4" customFormat="1" ht="16.95" customHeight="1" x14ac:dyDescent="0.25">
      <c r="A141" s="51"/>
      <c r="B141" s="8" t="s">
        <v>2</v>
      </c>
      <c r="C141" s="34"/>
      <c r="D141" s="59"/>
      <c r="E141" s="96"/>
      <c r="F141" s="97"/>
      <c r="G141" s="98"/>
      <c r="H141" s="99"/>
    </row>
    <row r="142" spans="1:8" s="4" customFormat="1" ht="21.6" customHeight="1" x14ac:dyDescent="0.25">
      <c r="A142" s="345" t="s">
        <v>26</v>
      </c>
      <c r="B142" s="309" t="s">
        <v>42</v>
      </c>
      <c r="C142" s="59" t="s">
        <v>28</v>
      </c>
      <c r="D142" s="46" t="s">
        <v>130</v>
      </c>
      <c r="E142" s="96">
        <f>SUM(F142,H142)</f>
        <v>293.60700000000003</v>
      </c>
      <c r="F142" s="97">
        <f>38.207+253.16</f>
        <v>291.36700000000002</v>
      </c>
      <c r="G142" s="98">
        <v>189.05</v>
      </c>
      <c r="H142" s="99">
        <v>2.2400000000000002</v>
      </c>
    </row>
    <row r="143" spans="1:8" s="4" customFormat="1" ht="21.6" customHeight="1" x14ac:dyDescent="0.25">
      <c r="A143" s="346"/>
      <c r="B143" s="314"/>
      <c r="C143" s="59" t="s">
        <v>29</v>
      </c>
      <c r="D143" s="46" t="s">
        <v>50</v>
      </c>
      <c r="E143" s="96">
        <f>SUM(F143,H143)</f>
        <v>604.97</v>
      </c>
      <c r="F143" s="97">
        <v>604.97</v>
      </c>
      <c r="G143" s="98">
        <v>579.9</v>
      </c>
      <c r="H143" s="99"/>
    </row>
    <row r="144" spans="1:8" s="4" customFormat="1" ht="21.6" hidden="1" customHeight="1" x14ac:dyDescent="0.25">
      <c r="A144" s="347"/>
      <c r="B144" s="310"/>
      <c r="C144" s="59"/>
      <c r="D144" s="46" t="s">
        <v>140</v>
      </c>
      <c r="E144" s="96"/>
      <c r="F144" s="97"/>
      <c r="G144" s="98"/>
      <c r="H144" s="99"/>
    </row>
    <row r="145" spans="1:8" s="4" customFormat="1" ht="21.6" customHeight="1" x14ac:dyDescent="0.25">
      <c r="A145" s="64" t="s">
        <v>24</v>
      </c>
      <c r="B145" s="65" t="s">
        <v>45</v>
      </c>
      <c r="C145" s="59" t="s">
        <v>55</v>
      </c>
      <c r="D145" s="46" t="s">
        <v>39</v>
      </c>
      <c r="E145" s="96">
        <f t="shared" ref="E145:E146" si="2">SUM(F145,H145)</f>
        <v>29.988</v>
      </c>
      <c r="F145" s="97">
        <v>29.988</v>
      </c>
      <c r="G145" s="98"/>
      <c r="H145" s="99"/>
    </row>
    <row r="146" spans="1:8" s="4" customFormat="1" ht="21.6" customHeight="1" x14ac:dyDescent="0.25">
      <c r="A146" s="53" t="s">
        <v>33</v>
      </c>
      <c r="B146" s="60" t="s">
        <v>47</v>
      </c>
      <c r="C146" s="59" t="s">
        <v>163</v>
      </c>
      <c r="D146" s="46" t="s">
        <v>130</v>
      </c>
      <c r="E146" s="96">
        <f t="shared" si="2"/>
        <v>2.23</v>
      </c>
      <c r="F146" s="97">
        <v>2.23</v>
      </c>
      <c r="G146" s="98"/>
      <c r="H146" s="99"/>
    </row>
    <row r="147" spans="1:8" s="4" customFormat="1" ht="21.6" hidden="1" customHeight="1" x14ac:dyDescent="0.25">
      <c r="A147" s="53" t="s">
        <v>7</v>
      </c>
      <c r="B147" s="54" t="s">
        <v>49</v>
      </c>
      <c r="C147" s="59"/>
      <c r="D147" s="46" t="s">
        <v>130</v>
      </c>
      <c r="E147" s="96">
        <f>SUM(F147,H147)</f>
        <v>0</v>
      </c>
      <c r="F147" s="97"/>
      <c r="G147" s="98"/>
      <c r="H147" s="99"/>
    </row>
    <row r="148" spans="1:8" ht="21.6" customHeight="1" x14ac:dyDescent="0.25">
      <c r="A148" s="56"/>
      <c r="B148" s="44" t="s">
        <v>147</v>
      </c>
      <c r="C148" s="58" t="s">
        <v>179</v>
      </c>
      <c r="D148" s="61"/>
      <c r="E148" s="121">
        <f>SUM(F148,H148)</f>
        <v>1254.125</v>
      </c>
      <c r="F148" s="122">
        <f>SUM(F150:F155)</f>
        <v>1251.925</v>
      </c>
      <c r="G148" s="123">
        <f>SUM(G150:G155)</f>
        <v>1022.88</v>
      </c>
      <c r="H148" s="124">
        <f>SUM(H150:H155)</f>
        <v>2.2000000000000002</v>
      </c>
    </row>
    <row r="149" spans="1:8" ht="17.399999999999999" customHeight="1" x14ac:dyDescent="0.25">
      <c r="A149" s="62"/>
      <c r="B149" s="8" t="s">
        <v>2</v>
      </c>
      <c r="C149" s="63"/>
      <c r="D149" s="61"/>
      <c r="E149" s="96"/>
      <c r="F149" s="97"/>
      <c r="G149" s="98"/>
      <c r="H149" s="99"/>
    </row>
    <row r="150" spans="1:8" s="4" customFormat="1" ht="21.6" customHeight="1" x14ac:dyDescent="0.25">
      <c r="A150" s="345" t="s">
        <v>26</v>
      </c>
      <c r="B150" s="309" t="s">
        <v>42</v>
      </c>
      <c r="C150" s="59" t="s">
        <v>30</v>
      </c>
      <c r="D150" s="46" t="s">
        <v>130</v>
      </c>
      <c r="E150" s="96">
        <f>SUM(F150,H150)</f>
        <v>392.40499999999997</v>
      </c>
      <c r="F150" s="97">
        <f>55.195+335.01</f>
        <v>390.20499999999998</v>
      </c>
      <c r="G150" s="98">
        <v>242.28</v>
      </c>
      <c r="H150" s="99">
        <v>2.2000000000000002</v>
      </c>
    </row>
    <row r="151" spans="1:8" s="4" customFormat="1" ht="21.6" customHeight="1" x14ac:dyDescent="0.25">
      <c r="A151" s="346"/>
      <c r="B151" s="314"/>
      <c r="C151" s="59" t="s">
        <v>56</v>
      </c>
      <c r="D151" s="46" t="s">
        <v>50</v>
      </c>
      <c r="E151" s="96">
        <f>SUM(F151,H151)</f>
        <v>813.52</v>
      </c>
      <c r="F151" s="97">
        <v>813.52</v>
      </c>
      <c r="G151" s="98">
        <v>780.6</v>
      </c>
      <c r="H151" s="99"/>
    </row>
    <row r="152" spans="1:8" s="4" customFormat="1" ht="21.6" hidden="1" customHeight="1" x14ac:dyDescent="0.25">
      <c r="A152" s="347"/>
      <c r="B152" s="310"/>
      <c r="C152" s="59"/>
      <c r="D152" s="46" t="s">
        <v>140</v>
      </c>
      <c r="E152" s="96"/>
      <c r="F152" s="97"/>
      <c r="G152" s="98"/>
      <c r="H152" s="99"/>
    </row>
    <row r="153" spans="1:8" s="4" customFormat="1" ht="21.6" customHeight="1" x14ac:dyDescent="0.25">
      <c r="A153" s="64" t="s">
        <v>24</v>
      </c>
      <c r="B153" s="65" t="s">
        <v>45</v>
      </c>
      <c r="C153" s="59" t="s">
        <v>57</v>
      </c>
      <c r="D153" s="46" t="s">
        <v>39</v>
      </c>
      <c r="E153" s="96">
        <f t="shared" ref="E153:E155" si="3">SUM(F153,H153)</f>
        <v>45.72</v>
      </c>
      <c r="F153" s="97">
        <v>45.72</v>
      </c>
      <c r="G153" s="98"/>
      <c r="H153" s="99"/>
    </row>
    <row r="154" spans="1:8" s="4" customFormat="1" ht="21.6" customHeight="1" x14ac:dyDescent="0.25">
      <c r="A154" s="53" t="s">
        <v>33</v>
      </c>
      <c r="B154" s="60" t="s">
        <v>47</v>
      </c>
      <c r="C154" s="59" t="s">
        <v>58</v>
      </c>
      <c r="D154" s="46" t="s">
        <v>130</v>
      </c>
      <c r="E154" s="96">
        <f t="shared" si="3"/>
        <v>2.48</v>
      </c>
      <c r="F154" s="97">
        <v>2.48</v>
      </c>
      <c r="G154" s="98"/>
      <c r="H154" s="99"/>
    </row>
    <row r="155" spans="1:8" s="4" customFormat="1" ht="21.6" hidden="1" customHeight="1" x14ac:dyDescent="0.25">
      <c r="A155" s="53" t="s">
        <v>7</v>
      </c>
      <c r="B155" s="54" t="s">
        <v>49</v>
      </c>
      <c r="C155" s="59"/>
      <c r="D155" s="46" t="s">
        <v>130</v>
      </c>
      <c r="E155" s="96">
        <f t="shared" si="3"/>
        <v>0</v>
      </c>
      <c r="F155" s="97"/>
      <c r="G155" s="98"/>
      <c r="H155" s="99"/>
    </row>
    <row r="156" spans="1:8" ht="23.4" customHeight="1" x14ac:dyDescent="0.25">
      <c r="A156" s="56"/>
      <c r="B156" s="44" t="s">
        <v>14</v>
      </c>
      <c r="C156" s="58" t="s">
        <v>180</v>
      </c>
      <c r="D156" s="59"/>
      <c r="E156" s="121">
        <f>SUM(F156,H156)</f>
        <v>1287.624</v>
      </c>
      <c r="F156" s="122">
        <f>SUM(F158:F166)</f>
        <v>1284.5940000000001</v>
      </c>
      <c r="G156" s="123">
        <f>SUM(G158:G166)</f>
        <v>1076.55</v>
      </c>
      <c r="H156" s="124">
        <f>SUM(H158:H166)</f>
        <v>3.03</v>
      </c>
    </row>
    <row r="157" spans="1:8" ht="17.399999999999999" customHeight="1" x14ac:dyDescent="0.25">
      <c r="A157" s="56"/>
      <c r="B157" s="8" t="s">
        <v>2</v>
      </c>
      <c r="C157" s="63"/>
      <c r="D157" s="61"/>
      <c r="E157" s="96"/>
      <c r="F157" s="97"/>
      <c r="G157" s="98"/>
      <c r="H157" s="99"/>
    </row>
    <row r="158" spans="1:8" ht="21" customHeight="1" x14ac:dyDescent="0.25">
      <c r="A158" s="46" t="s">
        <v>23</v>
      </c>
      <c r="B158" s="48" t="s">
        <v>35</v>
      </c>
      <c r="C158" s="59" t="s">
        <v>59</v>
      </c>
      <c r="D158" s="46" t="s">
        <v>130</v>
      </c>
      <c r="E158" s="96">
        <f t="shared" ref="E158:E167" si="4">SUM(F158,H158)</f>
        <v>0.68899999999999995</v>
      </c>
      <c r="F158" s="97">
        <f>0.689</f>
        <v>0.68899999999999995</v>
      </c>
      <c r="G158" s="98"/>
      <c r="H158" s="99"/>
    </row>
    <row r="159" spans="1:8" s="4" customFormat="1" ht="21.6" customHeight="1" x14ac:dyDescent="0.25">
      <c r="A159" s="345" t="s">
        <v>26</v>
      </c>
      <c r="B159" s="309" t="s">
        <v>42</v>
      </c>
      <c r="C159" s="59" t="s">
        <v>60</v>
      </c>
      <c r="D159" s="46" t="s">
        <v>130</v>
      </c>
      <c r="E159" s="96">
        <f>SUM(F159,H159)</f>
        <v>346.33499999999998</v>
      </c>
      <c r="F159" s="97">
        <f>55.245+288.06</f>
        <v>343.30500000000001</v>
      </c>
      <c r="G159" s="98">
        <v>216.15</v>
      </c>
      <c r="H159" s="99">
        <v>3.03</v>
      </c>
    </row>
    <row r="160" spans="1:8" s="4" customFormat="1" ht="21.6" customHeight="1" x14ac:dyDescent="0.25">
      <c r="A160" s="346"/>
      <c r="B160" s="314"/>
      <c r="C160" s="59" t="s">
        <v>61</v>
      </c>
      <c r="D160" s="46" t="s">
        <v>50</v>
      </c>
      <c r="E160" s="96">
        <f t="shared" si="4"/>
        <v>888.53</v>
      </c>
      <c r="F160" s="97">
        <v>888.53</v>
      </c>
      <c r="G160" s="98">
        <v>858.4</v>
      </c>
      <c r="H160" s="99"/>
    </row>
    <row r="161" spans="1:8" s="4" customFormat="1" ht="21.6" customHeight="1" x14ac:dyDescent="0.25">
      <c r="A161" s="346"/>
      <c r="B161" s="314"/>
      <c r="C161" s="59" t="s">
        <v>62</v>
      </c>
      <c r="D161" s="46" t="s">
        <v>140</v>
      </c>
      <c r="E161" s="96">
        <f t="shared" si="4"/>
        <v>24.3</v>
      </c>
      <c r="F161" s="97">
        <v>24.3</v>
      </c>
      <c r="G161" s="98">
        <v>2</v>
      </c>
      <c r="H161" s="99"/>
    </row>
    <row r="162" spans="1:8" s="4" customFormat="1" ht="21.6" hidden="1" customHeight="1" x14ac:dyDescent="0.25">
      <c r="A162" s="347"/>
      <c r="B162" s="310"/>
      <c r="C162" s="59"/>
      <c r="D162" s="46" t="s">
        <v>190</v>
      </c>
      <c r="E162" s="96"/>
      <c r="F162" s="97"/>
      <c r="G162" s="98"/>
      <c r="H162" s="99"/>
    </row>
    <row r="163" spans="1:8" s="4" customFormat="1" ht="21.6" customHeight="1" x14ac:dyDescent="0.25">
      <c r="A163" s="64" t="s">
        <v>24</v>
      </c>
      <c r="B163" s="65" t="s">
        <v>45</v>
      </c>
      <c r="C163" s="59" t="s">
        <v>105</v>
      </c>
      <c r="D163" s="46" t="s">
        <v>39</v>
      </c>
      <c r="E163" s="96">
        <f t="shared" si="4"/>
        <v>26.64</v>
      </c>
      <c r="F163" s="97">
        <v>26.64</v>
      </c>
      <c r="G163" s="98"/>
      <c r="H163" s="99"/>
    </row>
    <row r="164" spans="1:8" s="4" customFormat="1" ht="21.6" customHeight="1" x14ac:dyDescent="0.25">
      <c r="A164" s="53" t="s">
        <v>33</v>
      </c>
      <c r="B164" s="309" t="s">
        <v>47</v>
      </c>
      <c r="C164" s="59" t="s">
        <v>106</v>
      </c>
      <c r="D164" s="46" t="s">
        <v>130</v>
      </c>
      <c r="E164" s="96">
        <f t="shared" si="4"/>
        <v>1.1299999999999999</v>
      </c>
      <c r="F164" s="97">
        <v>1.1299999999999999</v>
      </c>
      <c r="G164" s="98"/>
      <c r="H164" s="99"/>
    </row>
    <row r="165" spans="1:8" s="4" customFormat="1" ht="21.6" hidden="1" customHeight="1" x14ac:dyDescent="0.25">
      <c r="A165" s="53"/>
      <c r="B165" s="310"/>
      <c r="C165" s="59" t="s">
        <v>107</v>
      </c>
      <c r="D165" s="46" t="s">
        <v>51</v>
      </c>
      <c r="E165" s="96">
        <f t="shared" si="4"/>
        <v>0</v>
      </c>
      <c r="F165" s="97"/>
      <c r="G165" s="98"/>
      <c r="H165" s="99"/>
    </row>
    <row r="166" spans="1:8" s="6" customFormat="1" ht="24.6" hidden="1" customHeight="1" x14ac:dyDescent="0.25">
      <c r="A166" s="53" t="s">
        <v>7</v>
      </c>
      <c r="B166" s="54" t="s">
        <v>49</v>
      </c>
      <c r="C166" s="59"/>
      <c r="D166" s="46" t="s">
        <v>130</v>
      </c>
      <c r="E166" s="96">
        <f t="shared" si="4"/>
        <v>0</v>
      </c>
      <c r="F166" s="97"/>
      <c r="G166" s="98"/>
      <c r="H166" s="99"/>
    </row>
    <row r="167" spans="1:8" ht="22.2" customHeight="1" x14ac:dyDescent="0.25">
      <c r="A167" s="56"/>
      <c r="B167" s="44" t="s">
        <v>15</v>
      </c>
      <c r="C167" s="58" t="s">
        <v>110</v>
      </c>
      <c r="D167" s="59"/>
      <c r="E167" s="121">
        <f t="shared" si="4"/>
        <v>656.03199999999981</v>
      </c>
      <c r="F167" s="122">
        <f>SUM(F169:F175)</f>
        <v>653.85199999999986</v>
      </c>
      <c r="G167" s="123">
        <f>SUM(G169:G175)</f>
        <v>554.04</v>
      </c>
      <c r="H167" s="124">
        <f>SUM(H169:H175)</f>
        <v>2.1800000000000002</v>
      </c>
    </row>
    <row r="168" spans="1:8" ht="17.399999999999999" customHeight="1" x14ac:dyDescent="0.25">
      <c r="A168" s="62"/>
      <c r="B168" s="8" t="s">
        <v>2</v>
      </c>
      <c r="C168" s="63"/>
      <c r="D168" s="61"/>
      <c r="E168" s="96"/>
      <c r="F168" s="97"/>
      <c r="G168" s="98"/>
      <c r="H168" s="99"/>
    </row>
    <row r="169" spans="1:8" s="4" customFormat="1" ht="21.6" customHeight="1" x14ac:dyDescent="0.25">
      <c r="A169" s="345" t="s">
        <v>26</v>
      </c>
      <c r="B169" s="309" t="s">
        <v>42</v>
      </c>
      <c r="C169" s="59" t="s">
        <v>63</v>
      </c>
      <c r="D169" s="46" t="s">
        <v>130</v>
      </c>
      <c r="E169" s="96">
        <f>SUM(F169,H169)</f>
        <v>213.85400000000001</v>
      </c>
      <c r="F169" s="97">
        <f>24.574+187.1</f>
        <v>211.67400000000001</v>
      </c>
      <c r="G169" s="98">
        <v>143.55000000000001</v>
      </c>
      <c r="H169" s="99">
        <v>2.1800000000000002</v>
      </c>
    </row>
    <row r="170" spans="1:8" s="4" customFormat="1" ht="21.6" customHeight="1" x14ac:dyDescent="0.25">
      <c r="A170" s="346"/>
      <c r="B170" s="314"/>
      <c r="C170" s="59" t="s">
        <v>64</v>
      </c>
      <c r="D170" s="46" t="s">
        <v>50</v>
      </c>
      <c r="E170" s="96">
        <f>SUM(F170,H170)</f>
        <v>427.03</v>
      </c>
      <c r="F170" s="97">
        <v>427.03</v>
      </c>
      <c r="G170" s="98">
        <v>410.49</v>
      </c>
      <c r="H170" s="99"/>
    </row>
    <row r="171" spans="1:8" s="4" customFormat="1" ht="21.6" hidden="1" customHeight="1" x14ac:dyDescent="0.25">
      <c r="A171" s="346"/>
      <c r="B171" s="314"/>
      <c r="C171" s="59"/>
      <c r="D171" s="46" t="s">
        <v>140</v>
      </c>
      <c r="E171" s="96"/>
      <c r="F171" s="97"/>
      <c r="G171" s="98"/>
      <c r="H171" s="99"/>
    </row>
    <row r="172" spans="1:8" s="4" customFormat="1" ht="21.6" hidden="1" customHeight="1" x14ac:dyDescent="0.25">
      <c r="A172" s="347"/>
      <c r="B172" s="310"/>
      <c r="C172" s="59" t="s">
        <v>65</v>
      </c>
      <c r="D172" s="46" t="s">
        <v>190</v>
      </c>
      <c r="E172" s="96">
        <f>SUM(F172,H172)</f>
        <v>0</v>
      </c>
      <c r="F172" s="97"/>
      <c r="G172" s="98"/>
      <c r="H172" s="99"/>
    </row>
    <row r="173" spans="1:8" s="4" customFormat="1" ht="21.6" customHeight="1" x14ac:dyDescent="0.25">
      <c r="A173" s="64" t="s">
        <v>24</v>
      </c>
      <c r="B173" s="65" t="s">
        <v>45</v>
      </c>
      <c r="C173" s="59" t="s">
        <v>65</v>
      </c>
      <c r="D173" s="46" t="s">
        <v>39</v>
      </c>
      <c r="E173" s="96">
        <f t="shared" ref="E173:E174" si="5">SUM(F173,H173)</f>
        <v>13.608000000000001</v>
      </c>
      <c r="F173" s="97">
        <v>13.608000000000001</v>
      </c>
      <c r="G173" s="98"/>
      <c r="H173" s="99"/>
    </row>
    <row r="174" spans="1:8" s="4" customFormat="1" ht="21.6" customHeight="1" x14ac:dyDescent="0.25">
      <c r="A174" s="53" t="s">
        <v>33</v>
      </c>
      <c r="B174" s="60" t="s">
        <v>47</v>
      </c>
      <c r="C174" s="59" t="s">
        <v>66</v>
      </c>
      <c r="D174" s="46" t="s">
        <v>130</v>
      </c>
      <c r="E174" s="96">
        <f t="shared" si="5"/>
        <v>1.54</v>
      </c>
      <c r="F174" s="97">
        <v>1.54</v>
      </c>
      <c r="G174" s="98"/>
      <c r="H174" s="99"/>
    </row>
    <row r="175" spans="1:8" s="4" customFormat="1" ht="21.6" hidden="1" customHeight="1" x14ac:dyDescent="0.25">
      <c r="A175" s="53" t="s">
        <v>7</v>
      </c>
      <c r="B175" s="54" t="s">
        <v>49</v>
      </c>
      <c r="C175" s="59"/>
      <c r="D175" s="46" t="s">
        <v>130</v>
      </c>
      <c r="E175" s="96">
        <f>SUM(F175,H175)</f>
        <v>0</v>
      </c>
      <c r="F175" s="97"/>
      <c r="G175" s="98"/>
      <c r="H175" s="99"/>
    </row>
    <row r="176" spans="1:8" ht="26.25" customHeight="1" x14ac:dyDescent="0.25">
      <c r="A176" s="56"/>
      <c r="B176" s="44" t="s">
        <v>9</v>
      </c>
      <c r="C176" s="58" t="s">
        <v>111</v>
      </c>
      <c r="D176" s="61"/>
      <c r="E176" s="121">
        <f>SUM(F176,H176)</f>
        <v>698.88699999999994</v>
      </c>
      <c r="F176" s="122">
        <f>SUM(F178:F184)</f>
        <v>675.28699999999992</v>
      </c>
      <c r="G176" s="123">
        <f>SUM(G178:G184)</f>
        <v>530.41999999999996</v>
      </c>
      <c r="H176" s="124">
        <f>SUM(H178:H184)</f>
        <v>23.6</v>
      </c>
    </row>
    <row r="177" spans="1:8" ht="15.75" customHeight="1" x14ac:dyDescent="0.25">
      <c r="A177" s="62"/>
      <c r="B177" s="8" t="s">
        <v>2</v>
      </c>
      <c r="C177" s="63"/>
      <c r="D177" s="61"/>
      <c r="E177" s="96"/>
      <c r="F177" s="97"/>
      <c r="G177" s="98"/>
      <c r="H177" s="99"/>
    </row>
    <row r="178" spans="1:8" s="4" customFormat="1" ht="21.6" customHeight="1" x14ac:dyDescent="0.25">
      <c r="A178" s="345" t="s">
        <v>26</v>
      </c>
      <c r="B178" s="309" t="s">
        <v>42</v>
      </c>
      <c r="C178" s="59" t="s">
        <v>67</v>
      </c>
      <c r="D178" s="46" t="s">
        <v>130</v>
      </c>
      <c r="E178" s="96">
        <f>SUM(F178,H178)</f>
        <v>423.24299999999999</v>
      </c>
      <c r="F178" s="97">
        <f>68.883+346.76</f>
        <v>415.64299999999997</v>
      </c>
      <c r="G178" s="98">
        <v>287.26</v>
      </c>
      <c r="H178" s="99">
        <f>6.3+1.3</f>
        <v>7.6</v>
      </c>
    </row>
    <row r="179" spans="1:8" s="4" customFormat="1" ht="21.6" customHeight="1" x14ac:dyDescent="0.25">
      <c r="A179" s="347"/>
      <c r="B179" s="310"/>
      <c r="C179" s="59" t="s">
        <v>68</v>
      </c>
      <c r="D179" s="46" t="s">
        <v>50</v>
      </c>
      <c r="E179" s="96">
        <f>SUM(F179,H179)</f>
        <v>255.44</v>
      </c>
      <c r="F179" s="97">
        <v>255.44</v>
      </c>
      <c r="G179" s="98">
        <v>243.16</v>
      </c>
      <c r="H179" s="99"/>
    </row>
    <row r="180" spans="1:8" s="4" customFormat="1" ht="21.6" customHeight="1" x14ac:dyDescent="0.25">
      <c r="A180" s="53" t="s">
        <v>24</v>
      </c>
      <c r="B180" s="60" t="s">
        <v>45</v>
      </c>
      <c r="C180" s="59" t="s">
        <v>69</v>
      </c>
      <c r="D180" s="46" t="s">
        <v>39</v>
      </c>
      <c r="E180" s="96">
        <f t="shared" ref="E180:E183" si="6">SUM(F180,H180)</f>
        <v>3.3039999999999998</v>
      </c>
      <c r="F180" s="97">
        <v>3.3039999999999998</v>
      </c>
      <c r="G180" s="98"/>
      <c r="H180" s="99"/>
    </row>
    <row r="181" spans="1:8" s="4" customFormat="1" ht="21.6" hidden="1" customHeight="1" x14ac:dyDescent="0.25">
      <c r="A181" s="35" t="s">
        <v>34</v>
      </c>
      <c r="B181" s="29" t="s">
        <v>46</v>
      </c>
      <c r="C181" s="59"/>
      <c r="D181" s="46" t="s">
        <v>51</v>
      </c>
      <c r="E181" s="96"/>
      <c r="F181" s="97"/>
      <c r="G181" s="98"/>
      <c r="H181" s="99"/>
    </row>
    <row r="182" spans="1:8" s="4" customFormat="1" ht="21.6" customHeight="1" x14ac:dyDescent="0.25">
      <c r="A182" s="311" t="s">
        <v>33</v>
      </c>
      <c r="B182" s="309" t="s">
        <v>47</v>
      </c>
      <c r="C182" s="59" t="s">
        <v>70</v>
      </c>
      <c r="D182" s="46" t="s">
        <v>130</v>
      </c>
      <c r="E182" s="96">
        <f t="shared" si="6"/>
        <v>0.9</v>
      </c>
      <c r="F182" s="97">
        <v>0.9</v>
      </c>
      <c r="G182" s="98"/>
      <c r="H182" s="99"/>
    </row>
    <row r="183" spans="1:8" s="4" customFormat="1" ht="21.6" hidden="1" customHeight="1" x14ac:dyDescent="0.25">
      <c r="A183" s="312"/>
      <c r="B183" s="310"/>
      <c r="C183" s="59"/>
      <c r="D183" s="46" t="s">
        <v>51</v>
      </c>
      <c r="E183" s="96">
        <f t="shared" si="6"/>
        <v>0</v>
      </c>
      <c r="F183" s="97"/>
      <c r="G183" s="98"/>
      <c r="H183" s="99"/>
    </row>
    <row r="184" spans="1:8" s="4" customFormat="1" ht="21.6" customHeight="1" x14ac:dyDescent="0.25">
      <c r="A184" s="53" t="s">
        <v>7</v>
      </c>
      <c r="B184" s="54" t="s">
        <v>49</v>
      </c>
      <c r="C184" s="59" t="s">
        <v>164</v>
      </c>
      <c r="D184" s="46" t="s">
        <v>130</v>
      </c>
      <c r="E184" s="96">
        <f>SUM(F184,H184)</f>
        <v>16</v>
      </c>
      <c r="F184" s="97"/>
      <c r="G184" s="98"/>
      <c r="H184" s="99">
        <f>6+10</f>
        <v>16</v>
      </c>
    </row>
    <row r="185" spans="1:8" s="6" customFormat="1" ht="28.2" customHeight="1" x14ac:dyDescent="0.25">
      <c r="A185" s="56"/>
      <c r="B185" s="44" t="s">
        <v>10</v>
      </c>
      <c r="C185" s="58" t="s">
        <v>181</v>
      </c>
      <c r="D185" s="61"/>
      <c r="E185" s="121">
        <f>SUM(F185,H185)</f>
        <v>471.11399999999998</v>
      </c>
      <c r="F185" s="122">
        <f>SUM(F187:F191)</f>
        <v>438.73399999999998</v>
      </c>
      <c r="G185" s="123">
        <f>SUM(G187:G191)</f>
        <v>328.55</v>
      </c>
      <c r="H185" s="124">
        <f>SUM(H187:H191)</f>
        <v>32.380000000000003</v>
      </c>
    </row>
    <row r="186" spans="1:8" ht="16.5" customHeight="1" x14ac:dyDescent="0.25">
      <c r="A186" s="62"/>
      <c r="B186" s="8" t="s">
        <v>2</v>
      </c>
      <c r="C186" s="63"/>
      <c r="D186" s="61"/>
      <c r="E186" s="96"/>
      <c r="F186" s="97"/>
      <c r="G186" s="98"/>
      <c r="H186" s="99"/>
    </row>
    <row r="187" spans="1:8" s="4" customFormat="1" ht="21.6" customHeight="1" x14ac:dyDescent="0.25">
      <c r="A187" s="345" t="s">
        <v>26</v>
      </c>
      <c r="B187" s="309" t="s">
        <v>42</v>
      </c>
      <c r="C187" s="59" t="s">
        <v>71</v>
      </c>
      <c r="D187" s="46" t="s">
        <v>130</v>
      </c>
      <c r="E187" s="96">
        <f>SUM(F187,H187)</f>
        <v>302.06599999999997</v>
      </c>
      <c r="F187" s="97">
        <f>39.426+262.64</f>
        <v>302.06599999999997</v>
      </c>
      <c r="G187" s="98">
        <v>202.61</v>
      </c>
      <c r="H187" s="99"/>
    </row>
    <row r="188" spans="1:8" s="4" customFormat="1" ht="21.6" customHeight="1" x14ac:dyDescent="0.25">
      <c r="A188" s="347"/>
      <c r="B188" s="310"/>
      <c r="C188" s="59" t="s">
        <v>72</v>
      </c>
      <c r="D188" s="46" t="s">
        <v>50</v>
      </c>
      <c r="E188" s="96">
        <f>SUM(F188,H188)</f>
        <v>132.49</v>
      </c>
      <c r="F188" s="97">
        <v>132.49</v>
      </c>
      <c r="G188" s="98">
        <v>125.94</v>
      </c>
      <c r="H188" s="99"/>
    </row>
    <row r="189" spans="1:8" s="4" customFormat="1" ht="21.6" customHeight="1" x14ac:dyDescent="0.25">
      <c r="A189" s="53" t="s">
        <v>24</v>
      </c>
      <c r="B189" s="60" t="s">
        <v>45</v>
      </c>
      <c r="C189" s="59" t="s">
        <v>73</v>
      </c>
      <c r="D189" s="46" t="s">
        <v>39</v>
      </c>
      <c r="E189" s="96">
        <f t="shared" ref="E189:E190" si="7">SUM(F189,H189)</f>
        <v>3.6080000000000001</v>
      </c>
      <c r="F189" s="97">
        <v>3.6080000000000001</v>
      </c>
      <c r="G189" s="98"/>
      <c r="H189" s="99"/>
    </row>
    <row r="190" spans="1:8" s="4" customFormat="1" ht="21.6" customHeight="1" x14ac:dyDescent="0.25">
      <c r="A190" s="53" t="s">
        <v>33</v>
      </c>
      <c r="B190" s="60" t="s">
        <v>47</v>
      </c>
      <c r="C190" s="59" t="s">
        <v>165</v>
      </c>
      <c r="D190" s="46" t="s">
        <v>130</v>
      </c>
      <c r="E190" s="96">
        <f t="shared" si="7"/>
        <v>0.56999999999999995</v>
      </c>
      <c r="F190" s="97">
        <v>0.56999999999999995</v>
      </c>
      <c r="G190" s="98"/>
      <c r="H190" s="99"/>
    </row>
    <row r="191" spans="1:8" s="4" customFormat="1" ht="21.6" customHeight="1" x14ac:dyDescent="0.25">
      <c r="A191" s="53" t="s">
        <v>7</v>
      </c>
      <c r="B191" s="54" t="s">
        <v>49</v>
      </c>
      <c r="C191" s="59" t="s">
        <v>166</v>
      </c>
      <c r="D191" s="46" t="s">
        <v>130</v>
      </c>
      <c r="E191" s="96">
        <f>SUM(F191,H191)</f>
        <v>32.380000000000003</v>
      </c>
      <c r="F191" s="97"/>
      <c r="G191" s="98"/>
      <c r="H191" s="99">
        <v>32.380000000000003</v>
      </c>
    </row>
    <row r="192" spans="1:8" s="6" customFormat="1" ht="31.2" customHeight="1" x14ac:dyDescent="0.25">
      <c r="A192" s="56"/>
      <c r="B192" s="44" t="s">
        <v>11</v>
      </c>
      <c r="C192" s="58" t="s">
        <v>112</v>
      </c>
      <c r="D192" s="61"/>
      <c r="E192" s="121">
        <f>SUM(F192,H192)</f>
        <v>645.03599999999994</v>
      </c>
      <c r="F192" s="122">
        <f>SUM(F194:F199)</f>
        <v>625.21199999999999</v>
      </c>
      <c r="G192" s="123">
        <f>SUM(G194:G199)</f>
        <v>480.18</v>
      </c>
      <c r="H192" s="124">
        <f>SUM(H194:H199)</f>
        <v>19.824000000000002</v>
      </c>
    </row>
    <row r="193" spans="1:8" ht="14.25" customHeight="1" x14ac:dyDescent="0.25">
      <c r="A193" s="62"/>
      <c r="B193" s="8" t="s">
        <v>2</v>
      </c>
      <c r="C193" s="63"/>
      <c r="D193" s="61"/>
      <c r="E193" s="96"/>
      <c r="F193" s="97"/>
      <c r="G193" s="98"/>
      <c r="H193" s="99"/>
    </row>
    <row r="194" spans="1:8" s="4" customFormat="1" ht="21.6" customHeight="1" x14ac:dyDescent="0.25">
      <c r="A194" s="345" t="s">
        <v>26</v>
      </c>
      <c r="B194" s="309" t="s">
        <v>42</v>
      </c>
      <c r="C194" s="59" t="s">
        <v>74</v>
      </c>
      <c r="D194" s="46" t="s">
        <v>130</v>
      </c>
      <c r="E194" s="96">
        <f>SUM(F194,H194)</f>
        <v>407.15999999999997</v>
      </c>
      <c r="F194" s="97">
        <f>66.08+337.58</f>
        <v>403.65999999999997</v>
      </c>
      <c r="G194" s="98">
        <v>281.38</v>
      </c>
      <c r="H194" s="99">
        <f>3.5</f>
        <v>3.5</v>
      </c>
    </row>
    <row r="195" spans="1:8" s="7" customFormat="1" ht="24" customHeight="1" x14ac:dyDescent="0.25">
      <c r="A195" s="347"/>
      <c r="B195" s="310"/>
      <c r="C195" s="59" t="s">
        <v>75</v>
      </c>
      <c r="D195" s="46" t="s">
        <v>50</v>
      </c>
      <c r="E195" s="96">
        <f>SUM(F195,H195)</f>
        <v>208.98</v>
      </c>
      <c r="F195" s="97">
        <v>208.98</v>
      </c>
      <c r="G195" s="98">
        <v>198.8</v>
      </c>
      <c r="H195" s="99"/>
    </row>
    <row r="196" spans="1:8" s="7" customFormat="1" ht="24" customHeight="1" x14ac:dyDescent="0.25">
      <c r="A196" s="53" t="s">
        <v>24</v>
      </c>
      <c r="B196" s="60" t="s">
        <v>45</v>
      </c>
      <c r="C196" s="59" t="s">
        <v>76</v>
      </c>
      <c r="D196" s="46" t="s">
        <v>39</v>
      </c>
      <c r="E196" s="96">
        <f t="shared" ref="E196:E198" si="8">SUM(F196,H196)</f>
        <v>1.952</v>
      </c>
      <c r="F196" s="97">
        <v>1.952</v>
      </c>
      <c r="G196" s="98"/>
      <c r="H196" s="99"/>
    </row>
    <row r="197" spans="1:8" s="7" customFormat="1" ht="24" customHeight="1" x14ac:dyDescent="0.25">
      <c r="A197" s="53" t="s">
        <v>33</v>
      </c>
      <c r="B197" s="309" t="s">
        <v>47</v>
      </c>
      <c r="C197" s="59" t="s">
        <v>167</v>
      </c>
      <c r="D197" s="46" t="s">
        <v>130</v>
      </c>
      <c r="E197" s="96">
        <f t="shared" si="8"/>
        <v>0.62</v>
      </c>
      <c r="F197" s="97">
        <v>0.62</v>
      </c>
      <c r="G197" s="98"/>
      <c r="H197" s="99"/>
    </row>
    <row r="198" spans="1:8" s="7" customFormat="1" ht="24" hidden="1" customHeight="1" x14ac:dyDescent="0.25">
      <c r="A198" s="53"/>
      <c r="B198" s="310"/>
      <c r="C198" s="59" t="s">
        <v>168</v>
      </c>
      <c r="D198" s="46" t="s">
        <v>51</v>
      </c>
      <c r="E198" s="96">
        <f t="shared" si="8"/>
        <v>0</v>
      </c>
      <c r="F198" s="97"/>
      <c r="G198" s="98"/>
      <c r="H198" s="99"/>
    </row>
    <row r="199" spans="1:8" s="7" customFormat="1" ht="24" customHeight="1" x14ac:dyDescent="0.25">
      <c r="A199" s="53" t="s">
        <v>7</v>
      </c>
      <c r="B199" s="54" t="s">
        <v>49</v>
      </c>
      <c r="C199" s="59" t="s">
        <v>168</v>
      </c>
      <c r="D199" s="46" t="s">
        <v>130</v>
      </c>
      <c r="E199" s="96">
        <f>SUM(F199,H199)</f>
        <v>26.324000000000002</v>
      </c>
      <c r="F199" s="97">
        <v>10</v>
      </c>
      <c r="G199" s="98"/>
      <c r="H199" s="99">
        <v>16.324000000000002</v>
      </c>
    </row>
    <row r="200" spans="1:8" s="6" customFormat="1" ht="30.75" customHeight="1" x14ac:dyDescent="0.25">
      <c r="A200" s="56"/>
      <c r="B200" s="44" t="s">
        <v>12</v>
      </c>
      <c r="C200" s="58" t="s">
        <v>113</v>
      </c>
      <c r="D200" s="61"/>
      <c r="E200" s="121">
        <f>SUM(F200,H200)</f>
        <v>650.07899999999995</v>
      </c>
      <c r="F200" s="122">
        <f>SUM(F202:F206)</f>
        <v>634.149</v>
      </c>
      <c r="G200" s="123">
        <f>SUM(G202:G206)</f>
        <v>488.82000000000005</v>
      </c>
      <c r="H200" s="124">
        <f>SUM(H202:H206)</f>
        <v>15.93</v>
      </c>
    </row>
    <row r="201" spans="1:8" ht="15" customHeight="1" x14ac:dyDescent="0.25">
      <c r="A201" s="62"/>
      <c r="B201" s="8" t="s">
        <v>2</v>
      </c>
      <c r="C201" s="63"/>
      <c r="D201" s="61"/>
      <c r="E201" s="96"/>
      <c r="F201" s="97"/>
      <c r="G201" s="98"/>
      <c r="H201" s="99"/>
    </row>
    <row r="202" spans="1:8" s="4" customFormat="1" ht="27" customHeight="1" x14ac:dyDescent="0.25">
      <c r="A202" s="345" t="s">
        <v>26</v>
      </c>
      <c r="B202" s="309" t="s">
        <v>42</v>
      </c>
      <c r="C202" s="59" t="s">
        <v>77</v>
      </c>
      <c r="D202" s="46" t="s">
        <v>130</v>
      </c>
      <c r="E202" s="96">
        <f>SUM(F202,H202)</f>
        <v>406.83499999999998</v>
      </c>
      <c r="F202" s="97">
        <f>61.085+342.32</f>
        <v>403.40499999999997</v>
      </c>
      <c r="G202" s="98">
        <v>281.8</v>
      </c>
      <c r="H202" s="99">
        <f>3.43</f>
        <v>3.43</v>
      </c>
    </row>
    <row r="203" spans="1:8" s="4" customFormat="1" ht="27.75" customHeight="1" x14ac:dyDescent="0.25">
      <c r="A203" s="347"/>
      <c r="B203" s="310"/>
      <c r="C203" s="59" t="s">
        <v>78</v>
      </c>
      <c r="D203" s="46" t="s">
        <v>50</v>
      </c>
      <c r="E203" s="96">
        <f>SUM(F203,H203)</f>
        <v>217.84</v>
      </c>
      <c r="F203" s="97">
        <v>217.84</v>
      </c>
      <c r="G203" s="98">
        <v>207.02</v>
      </c>
      <c r="H203" s="99"/>
    </row>
    <row r="204" spans="1:8" s="4" customFormat="1" ht="27.75" customHeight="1" x14ac:dyDescent="0.25">
      <c r="A204" s="53" t="s">
        <v>24</v>
      </c>
      <c r="B204" s="60" t="s">
        <v>45</v>
      </c>
      <c r="C204" s="59" t="s">
        <v>79</v>
      </c>
      <c r="D204" s="46" t="s">
        <v>39</v>
      </c>
      <c r="E204" s="96">
        <f t="shared" ref="E204:E205" si="9">SUM(F204,H204)</f>
        <v>1.3759999999999999</v>
      </c>
      <c r="F204" s="97">
        <v>1.3759999999999999</v>
      </c>
      <c r="G204" s="98"/>
      <c r="H204" s="99"/>
    </row>
    <row r="205" spans="1:8" s="6" customFormat="1" ht="24.6" customHeight="1" x14ac:dyDescent="0.25">
      <c r="A205" s="53" t="s">
        <v>33</v>
      </c>
      <c r="B205" s="60" t="s">
        <v>47</v>
      </c>
      <c r="C205" s="59" t="s">
        <v>169</v>
      </c>
      <c r="D205" s="46" t="s">
        <v>130</v>
      </c>
      <c r="E205" s="96">
        <f t="shared" si="9"/>
        <v>0.97</v>
      </c>
      <c r="F205" s="97">
        <v>0.97</v>
      </c>
      <c r="G205" s="98"/>
      <c r="H205" s="99"/>
    </row>
    <row r="206" spans="1:8" s="6" customFormat="1" ht="24.6" customHeight="1" x14ac:dyDescent="0.25">
      <c r="A206" s="53" t="s">
        <v>7</v>
      </c>
      <c r="B206" s="54" t="s">
        <v>49</v>
      </c>
      <c r="C206" s="59" t="s">
        <v>170</v>
      </c>
      <c r="D206" s="46" t="s">
        <v>130</v>
      </c>
      <c r="E206" s="96">
        <f>SUM(F206,H206)</f>
        <v>23.058</v>
      </c>
      <c r="F206" s="97">
        <v>10.558</v>
      </c>
      <c r="G206" s="98"/>
      <c r="H206" s="99">
        <f>2.5+10</f>
        <v>12.5</v>
      </c>
    </row>
    <row r="207" spans="1:8" s="6" customFormat="1" ht="28.5" customHeight="1" x14ac:dyDescent="0.25">
      <c r="A207" s="56"/>
      <c r="B207" s="44" t="s">
        <v>13</v>
      </c>
      <c r="C207" s="58" t="s">
        <v>114</v>
      </c>
      <c r="D207" s="59"/>
      <c r="E207" s="121">
        <f>SUM(F207,H207)</f>
        <v>641.548</v>
      </c>
      <c r="F207" s="122">
        <f>SUM(F209:F213)</f>
        <v>629.548</v>
      </c>
      <c r="G207" s="123">
        <f>SUM(G209:G213)</f>
        <v>478.95</v>
      </c>
      <c r="H207" s="124">
        <f>SUM(H209:H213)</f>
        <v>12</v>
      </c>
    </row>
    <row r="208" spans="1:8" ht="17.399999999999999" customHeight="1" x14ac:dyDescent="0.25">
      <c r="A208" s="62"/>
      <c r="B208" s="8" t="s">
        <v>2</v>
      </c>
      <c r="C208" s="63"/>
      <c r="D208" s="61"/>
      <c r="E208" s="96"/>
      <c r="F208" s="97"/>
      <c r="G208" s="98"/>
      <c r="H208" s="99"/>
    </row>
    <row r="209" spans="1:8" s="4" customFormat="1" ht="24.75" customHeight="1" x14ac:dyDescent="0.25">
      <c r="A209" s="345" t="s">
        <v>26</v>
      </c>
      <c r="B209" s="309" t="s">
        <v>42</v>
      </c>
      <c r="C209" s="59" t="s">
        <v>80</v>
      </c>
      <c r="D209" s="46" t="s">
        <v>130</v>
      </c>
      <c r="E209" s="96">
        <f>SUM(F209,H209)</f>
        <v>411.42199999999997</v>
      </c>
      <c r="F209" s="97">
        <f>71.962+335.46</f>
        <v>407.42199999999997</v>
      </c>
      <c r="G209" s="98">
        <v>273.76</v>
      </c>
      <c r="H209" s="99">
        <f>3+1</f>
        <v>4</v>
      </c>
    </row>
    <row r="210" spans="1:8" s="4" customFormat="1" ht="27.75" customHeight="1" x14ac:dyDescent="0.25">
      <c r="A210" s="347"/>
      <c r="B210" s="310"/>
      <c r="C210" s="59" t="s">
        <v>81</v>
      </c>
      <c r="D210" s="46" t="s">
        <v>50</v>
      </c>
      <c r="E210" s="96">
        <f>SUM(F210,H210)</f>
        <v>217.65</v>
      </c>
      <c r="F210" s="97">
        <v>217.65</v>
      </c>
      <c r="G210" s="98">
        <v>205.19</v>
      </c>
      <c r="H210" s="99"/>
    </row>
    <row r="211" spans="1:8" s="4" customFormat="1" ht="27.75" customHeight="1" x14ac:dyDescent="0.25">
      <c r="A211" s="53" t="s">
        <v>24</v>
      </c>
      <c r="B211" s="60" t="s">
        <v>45</v>
      </c>
      <c r="C211" s="59" t="s">
        <v>82</v>
      </c>
      <c r="D211" s="46" t="s">
        <v>39</v>
      </c>
      <c r="E211" s="96">
        <f t="shared" ref="E211:E213" si="10">SUM(F211,H211)</f>
        <v>3.0760000000000001</v>
      </c>
      <c r="F211" s="97">
        <v>3.0760000000000001</v>
      </c>
      <c r="G211" s="98"/>
      <c r="H211" s="99"/>
    </row>
    <row r="212" spans="1:8" s="4" customFormat="1" ht="27.75" customHeight="1" x14ac:dyDescent="0.25">
      <c r="A212" s="53" t="s">
        <v>33</v>
      </c>
      <c r="B212" s="60" t="s">
        <v>47</v>
      </c>
      <c r="C212" s="59" t="s">
        <v>138</v>
      </c>
      <c r="D212" s="46" t="s">
        <v>130</v>
      </c>
      <c r="E212" s="96">
        <f t="shared" si="10"/>
        <v>1.4</v>
      </c>
      <c r="F212" s="97">
        <v>1.4</v>
      </c>
      <c r="G212" s="98"/>
      <c r="H212" s="99"/>
    </row>
    <row r="213" spans="1:8" s="4" customFormat="1" ht="27.75" customHeight="1" x14ac:dyDescent="0.25">
      <c r="A213" s="53" t="s">
        <v>7</v>
      </c>
      <c r="B213" s="54" t="s">
        <v>49</v>
      </c>
      <c r="C213" s="59" t="s">
        <v>171</v>
      </c>
      <c r="D213" s="46" t="s">
        <v>130</v>
      </c>
      <c r="E213" s="96">
        <f t="shared" si="10"/>
        <v>8</v>
      </c>
      <c r="F213" s="97"/>
      <c r="G213" s="98"/>
      <c r="H213" s="99">
        <v>8</v>
      </c>
    </row>
    <row r="214" spans="1:8" s="6" customFormat="1" ht="22.2" customHeight="1" x14ac:dyDescent="0.25">
      <c r="A214" s="56"/>
      <c r="B214" s="44" t="s">
        <v>141</v>
      </c>
      <c r="C214" s="58" t="s">
        <v>115</v>
      </c>
      <c r="D214" s="59"/>
      <c r="E214" s="121">
        <f>SUM(F214,H214)</f>
        <v>889.721</v>
      </c>
      <c r="F214" s="122">
        <f>SUM(F216:F221)</f>
        <v>884.14099999999996</v>
      </c>
      <c r="G214" s="123">
        <f>SUM(G216:G221)</f>
        <v>831.02</v>
      </c>
      <c r="H214" s="124">
        <f>SUM(H216:H221)</f>
        <v>5.58</v>
      </c>
    </row>
    <row r="215" spans="1:8" ht="17.399999999999999" customHeight="1" x14ac:dyDescent="0.25">
      <c r="A215" s="62"/>
      <c r="B215" s="8" t="s">
        <v>2</v>
      </c>
      <c r="C215" s="63"/>
      <c r="D215" s="61"/>
      <c r="E215" s="96"/>
      <c r="F215" s="97"/>
      <c r="G215" s="98"/>
      <c r="H215" s="99"/>
    </row>
    <row r="216" spans="1:8" s="4" customFormat="1" ht="21.6" customHeight="1" x14ac:dyDescent="0.25">
      <c r="A216" s="345" t="s">
        <v>26</v>
      </c>
      <c r="B216" s="309" t="s">
        <v>42</v>
      </c>
      <c r="C216" s="59" t="s">
        <v>83</v>
      </c>
      <c r="D216" s="46" t="s">
        <v>130</v>
      </c>
      <c r="E216" s="96">
        <f>SUM(F216,H216)</f>
        <v>848.82600000000002</v>
      </c>
      <c r="F216" s="97">
        <f>37.746+805.5</f>
        <v>843.24599999999998</v>
      </c>
      <c r="G216" s="98">
        <f>26+765.076</f>
        <v>791.07600000000002</v>
      </c>
      <c r="H216" s="99">
        <f>4.2+1.38</f>
        <v>5.58</v>
      </c>
    </row>
    <row r="217" spans="1:8" s="4" customFormat="1" ht="21.75" customHeight="1" x14ac:dyDescent="0.25">
      <c r="A217" s="346"/>
      <c r="B217" s="314"/>
      <c r="C217" s="59" t="s">
        <v>84</v>
      </c>
      <c r="D217" s="46" t="s">
        <v>50</v>
      </c>
      <c r="E217" s="96">
        <f>SUM(F217,H217)</f>
        <v>6.26</v>
      </c>
      <c r="F217" s="97">
        <v>6.26</v>
      </c>
      <c r="G217" s="98">
        <v>6.17</v>
      </c>
      <c r="H217" s="99"/>
    </row>
    <row r="218" spans="1:8" s="4" customFormat="1" ht="21.75" customHeight="1" x14ac:dyDescent="0.25">
      <c r="A218" s="346"/>
      <c r="B218" s="314"/>
      <c r="C218" s="59" t="s">
        <v>172</v>
      </c>
      <c r="D218" s="46" t="s">
        <v>190</v>
      </c>
      <c r="E218" s="96">
        <f t="shared" ref="E218:E221" si="11">SUM(F218,H218)</f>
        <v>0.52500000000000002</v>
      </c>
      <c r="F218" s="97">
        <v>0.52500000000000002</v>
      </c>
      <c r="G218" s="98">
        <v>0.38400000000000001</v>
      </c>
      <c r="H218" s="99"/>
    </row>
    <row r="219" spans="1:8" s="4" customFormat="1" ht="21.75" customHeight="1" x14ac:dyDescent="0.25">
      <c r="A219" s="347"/>
      <c r="B219" s="310"/>
      <c r="C219" s="59" t="s">
        <v>173</v>
      </c>
      <c r="D219" s="46" t="s">
        <v>140</v>
      </c>
      <c r="E219" s="96">
        <f t="shared" si="11"/>
        <v>33.880000000000003</v>
      </c>
      <c r="F219" s="97">
        <v>33.880000000000003</v>
      </c>
      <c r="G219" s="98">
        <v>33.39</v>
      </c>
      <c r="H219" s="99"/>
    </row>
    <row r="220" spans="1:8" s="4" customFormat="1" ht="21.6" customHeight="1" x14ac:dyDescent="0.25">
      <c r="A220" s="53" t="s">
        <v>33</v>
      </c>
      <c r="B220" s="60" t="s">
        <v>47</v>
      </c>
      <c r="C220" s="59" t="s">
        <v>191</v>
      </c>
      <c r="D220" s="46" t="s">
        <v>130</v>
      </c>
      <c r="E220" s="96">
        <f t="shared" si="11"/>
        <v>0.23</v>
      </c>
      <c r="F220" s="97">
        <v>0.23</v>
      </c>
      <c r="G220" s="98"/>
      <c r="H220" s="99"/>
    </row>
    <row r="221" spans="1:8" s="4" customFormat="1" ht="21.6" hidden="1" customHeight="1" x14ac:dyDescent="0.25">
      <c r="A221" s="53" t="s">
        <v>7</v>
      </c>
      <c r="B221" s="54" t="s">
        <v>49</v>
      </c>
      <c r="C221" s="59" t="s">
        <v>207</v>
      </c>
      <c r="D221" s="46" t="s">
        <v>130</v>
      </c>
      <c r="E221" s="96">
        <f t="shared" si="11"/>
        <v>0</v>
      </c>
      <c r="F221" s="97"/>
      <c r="G221" s="98"/>
      <c r="H221" s="99"/>
    </row>
    <row r="222" spans="1:8" s="6" customFormat="1" ht="25.2" customHeight="1" x14ac:dyDescent="0.25">
      <c r="A222" s="56"/>
      <c r="B222" s="44" t="s">
        <v>104</v>
      </c>
      <c r="C222" s="58" t="s">
        <v>116</v>
      </c>
      <c r="D222" s="61"/>
      <c r="E222" s="121">
        <f>SUM(F222,H222)</f>
        <v>819.69</v>
      </c>
      <c r="F222" s="122">
        <f>SUM(F224:F235)</f>
        <v>732.02400000000011</v>
      </c>
      <c r="G222" s="123">
        <f>SUM(G224:G235)</f>
        <v>582.83399999999995</v>
      </c>
      <c r="H222" s="124">
        <f>SUM(H224:H235)</f>
        <v>87.665999999999997</v>
      </c>
    </row>
    <row r="223" spans="1:8" ht="17.399999999999999" customHeight="1" x14ac:dyDescent="0.25">
      <c r="A223" s="62"/>
      <c r="B223" s="8" t="s">
        <v>2</v>
      </c>
      <c r="C223" s="63"/>
      <c r="D223" s="61"/>
      <c r="E223" s="96"/>
      <c r="F223" s="97"/>
      <c r="G223" s="98"/>
      <c r="H223" s="99"/>
    </row>
    <row r="224" spans="1:8" s="4" customFormat="1" ht="21.6" customHeight="1" x14ac:dyDescent="0.25">
      <c r="A224" s="345" t="s">
        <v>26</v>
      </c>
      <c r="B224" s="309" t="s">
        <v>42</v>
      </c>
      <c r="C224" s="59" t="s">
        <v>85</v>
      </c>
      <c r="D224" s="46" t="s">
        <v>130</v>
      </c>
      <c r="E224" s="96">
        <f>SUM(F224,H224)</f>
        <v>606.17099999999994</v>
      </c>
      <c r="F224" s="97">
        <f>74.151+529.02</f>
        <v>603.17099999999994</v>
      </c>
      <c r="G224" s="98">
        <f>49.6+469.171</f>
        <v>518.77099999999996</v>
      </c>
      <c r="H224" s="99">
        <f>3</f>
        <v>3</v>
      </c>
    </row>
    <row r="225" spans="1:8" s="4" customFormat="1" ht="21.6" customHeight="1" x14ac:dyDescent="0.25">
      <c r="A225" s="346"/>
      <c r="B225" s="314"/>
      <c r="C225" s="59" t="s">
        <v>86</v>
      </c>
      <c r="D225" s="46" t="s">
        <v>50</v>
      </c>
      <c r="E225" s="96">
        <f>SUM(F225,H225)</f>
        <v>15.63</v>
      </c>
      <c r="F225" s="97">
        <v>15.63</v>
      </c>
      <c r="G225" s="98">
        <v>15.41</v>
      </c>
      <c r="H225" s="99"/>
    </row>
    <row r="226" spans="1:8" s="4" customFormat="1" ht="21.6" customHeight="1" x14ac:dyDescent="0.25">
      <c r="A226" s="346"/>
      <c r="B226" s="314"/>
      <c r="C226" s="59" t="s">
        <v>174</v>
      </c>
      <c r="D226" s="46" t="s">
        <v>190</v>
      </c>
      <c r="E226" s="96">
        <f t="shared" ref="E226:E229" si="12">SUM(F226,H226)</f>
        <v>5.0709999999999997</v>
      </c>
      <c r="F226" s="97">
        <v>5.0709999999999997</v>
      </c>
      <c r="G226" s="98">
        <v>1.363</v>
      </c>
      <c r="H226" s="99"/>
    </row>
    <row r="227" spans="1:8" s="4" customFormat="1" ht="21.6" customHeight="1" x14ac:dyDescent="0.25">
      <c r="A227" s="347"/>
      <c r="B227" s="310"/>
      <c r="C227" s="59" t="s">
        <v>192</v>
      </c>
      <c r="D227" s="46" t="s">
        <v>140</v>
      </c>
      <c r="E227" s="96">
        <f t="shared" si="12"/>
        <v>14.72</v>
      </c>
      <c r="F227" s="97">
        <v>14.72</v>
      </c>
      <c r="G227" s="98">
        <v>14.51</v>
      </c>
      <c r="H227" s="99"/>
    </row>
    <row r="228" spans="1:8" s="4" customFormat="1" ht="21.6" hidden="1" customHeight="1" x14ac:dyDescent="0.25">
      <c r="A228" s="53" t="s">
        <v>40</v>
      </c>
      <c r="B228" s="54" t="s">
        <v>129</v>
      </c>
      <c r="C228" s="59"/>
      <c r="D228" s="46" t="s">
        <v>130</v>
      </c>
      <c r="E228" s="96">
        <f t="shared" si="12"/>
        <v>0</v>
      </c>
      <c r="F228" s="97"/>
      <c r="G228" s="98"/>
      <c r="H228" s="99"/>
    </row>
    <row r="229" spans="1:8" s="4" customFormat="1" ht="21.6" hidden="1" customHeight="1" x14ac:dyDescent="0.25">
      <c r="A229" s="53" t="s">
        <v>24</v>
      </c>
      <c r="B229" s="60" t="s">
        <v>45</v>
      </c>
      <c r="C229" s="59"/>
      <c r="D229" s="46" t="s">
        <v>130</v>
      </c>
      <c r="E229" s="96">
        <f t="shared" si="12"/>
        <v>0</v>
      </c>
      <c r="F229" s="97"/>
      <c r="G229" s="98"/>
      <c r="H229" s="99"/>
    </row>
    <row r="230" spans="1:8" s="4" customFormat="1" ht="21.6" hidden="1" customHeight="1" x14ac:dyDescent="0.25">
      <c r="A230" s="35" t="s">
        <v>34</v>
      </c>
      <c r="B230" s="29" t="s">
        <v>46</v>
      </c>
      <c r="C230" s="59"/>
      <c r="D230" s="46" t="s">
        <v>51</v>
      </c>
      <c r="E230" s="96"/>
      <c r="F230" s="97"/>
      <c r="G230" s="98"/>
      <c r="H230" s="99"/>
    </row>
    <row r="231" spans="1:8" s="4" customFormat="1" ht="21.6" customHeight="1" x14ac:dyDescent="0.25">
      <c r="A231" s="53" t="s">
        <v>33</v>
      </c>
      <c r="B231" s="60" t="s">
        <v>47</v>
      </c>
      <c r="C231" s="59" t="s">
        <v>196</v>
      </c>
      <c r="D231" s="46" t="s">
        <v>130</v>
      </c>
      <c r="E231" s="96">
        <f t="shared" ref="E231:E234" si="13">SUM(F231,H231)</f>
        <v>1.6</v>
      </c>
      <c r="F231" s="97">
        <v>1.6</v>
      </c>
      <c r="G231" s="98"/>
      <c r="H231" s="99"/>
    </row>
    <row r="232" spans="1:8" s="4" customFormat="1" ht="21.6" customHeight="1" x14ac:dyDescent="0.25">
      <c r="A232" s="356" t="s">
        <v>41</v>
      </c>
      <c r="B232" s="354" t="s">
        <v>48</v>
      </c>
      <c r="C232" s="59" t="s">
        <v>200</v>
      </c>
      <c r="D232" s="46" t="s">
        <v>130</v>
      </c>
      <c r="E232" s="96">
        <f t="shared" si="13"/>
        <v>11.276999999999999</v>
      </c>
      <c r="F232" s="97">
        <v>11.276999999999999</v>
      </c>
      <c r="G232" s="98">
        <v>6.47</v>
      </c>
      <c r="H232" s="99"/>
    </row>
    <row r="233" spans="1:8" s="4" customFormat="1" ht="21.6" hidden="1" customHeight="1" x14ac:dyDescent="0.25">
      <c r="A233" s="357"/>
      <c r="B233" s="355"/>
      <c r="C233" s="59"/>
      <c r="D233" s="46" t="s">
        <v>190</v>
      </c>
      <c r="E233" s="96"/>
      <c r="F233" s="97"/>
      <c r="G233" s="98"/>
      <c r="H233" s="99"/>
    </row>
    <row r="234" spans="1:8" s="4" customFormat="1" ht="21.6" customHeight="1" x14ac:dyDescent="0.25">
      <c r="A234" s="356" t="s">
        <v>7</v>
      </c>
      <c r="B234" s="354" t="s">
        <v>49</v>
      </c>
      <c r="C234" s="59" t="s">
        <v>210</v>
      </c>
      <c r="D234" s="46" t="s">
        <v>130</v>
      </c>
      <c r="E234" s="96">
        <f t="shared" si="13"/>
        <v>165.221</v>
      </c>
      <c r="F234" s="97">
        <v>80.555000000000007</v>
      </c>
      <c r="G234" s="98">
        <v>26.31</v>
      </c>
      <c r="H234" s="99">
        <v>84.665999999999997</v>
      </c>
    </row>
    <row r="235" spans="1:8" s="4" customFormat="1" ht="21.6" hidden="1" customHeight="1" x14ac:dyDescent="0.25">
      <c r="A235" s="357"/>
      <c r="B235" s="355"/>
      <c r="C235" s="59"/>
      <c r="D235" s="46" t="s">
        <v>190</v>
      </c>
      <c r="E235" s="96"/>
      <c r="F235" s="97"/>
      <c r="G235" s="98"/>
      <c r="H235" s="99"/>
    </row>
    <row r="236" spans="1:8" s="6" customFormat="1" ht="27.6" customHeight="1" x14ac:dyDescent="0.25">
      <c r="A236" s="56"/>
      <c r="B236" s="66" t="s">
        <v>212</v>
      </c>
      <c r="C236" s="58" t="s">
        <v>117</v>
      </c>
      <c r="D236" s="61"/>
      <c r="E236" s="121">
        <f>SUM(F236,H236)</f>
        <v>160.40899999999999</v>
      </c>
      <c r="F236" s="122">
        <f>SUM(F238:F242)</f>
        <v>160.40899999999999</v>
      </c>
      <c r="G236" s="123">
        <f>SUM(G238:G242)</f>
        <v>134.49</v>
      </c>
      <c r="H236" s="124">
        <f>SUM(H238:H242)</f>
        <v>0</v>
      </c>
    </row>
    <row r="237" spans="1:8" ht="17.399999999999999" customHeight="1" x14ac:dyDescent="0.25">
      <c r="A237" s="62"/>
      <c r="B237" s="8" t="s">
        <v>2</v>
      </c>
      <c r="C237" s="63"/>
      <c r="D237" s="61"/>
      <c r="E237" s="96"/>
      <c r="F237" s="97"/>
      <c r="G237" s="98"/>
      <c r="H237" s="99"/>
    </row>
    <row r="238" spans="1:8" ht="17.399999999999999" customHeight="1" x14ac:dyDescent="0.25">
      <c r="A238" s="67" t="s">
        <v>23</v>
      </c>
      <c r="B238" s="48" t="s">
        <v>35</v>
      </c>
      <c r="C238" s="59" t="s">
        <v>87</v>
      </c>
      <c r="D238" s="55" t="s">
        <v>130</v>
      </c>
      <c r="E238" s="96">
        <f t="shared" ref="E238:E243" si="14">SUM(F238,H238)</f>
        <v>0.3</v>
      </c>
      <c r="F238" s="97">
        <v>0.3</v>
      </c>
      <c r="G238" s="98"/>
      <c r="H238" s="99"/>
    </row>
    <row r="239" spans="1:8" s="4" customFormat="1" ht="21.6" customHeight="1" x14ac:dyDescent="0.25">
      <c r="A239" s="345" t="s">
        <v>26</v>
      </c>
      <c r="B239" s="309" t="s">
        <v>42</v>
      </c>
      <c r="C239" s="59" t="s">
        <v>182</v>
      </c>
      <c r="D239" s="46" t="s">
        <v>130</v>
      </c>
      <c r="E239" s="96">
        <f t="shared" si="14"/>
        <v>96.338999999999999</v>
      </c>
      <c r="F239" s="97">
        <f>19.409+76.93</f>
        <v>96.338999999999999</v>
      </c>
      <c r="G239" s="98">
        <v>71.63</v>
      </c>
      <c r="H239" s="99"/>
    </row>
    <row r="240" spans="1:8" s="4" customFormat="1" ht="21.6" customHeight="1" x14ac:dyDescent="0.25">
      <c r="A240" s="347"/>
      <c r="B240" s="310"/>
      <c r="C240" s="59" t="s">
        <v>183</v>
      </c>
      <c r="D240" s="46" t="s">
        <v>50</v>
      </c>
      <c r="E240" s="96">
        <f t="shared" si="14"/>
        <v>63.77</v>
      </c>
      <c r="F240" s="97">
        <v>63.77</v>
      </c>
      <c r="G240" s="98">
        <v>62.86</v>
      </c>
      <c r="H240" s="99"/>
    </row>
    <row r="241" spans="1:8" s="4" customFormat="1" ht="21.6" hidden="1" customHeight="1" x14ac:dyDescent="0.25">
      <c r="A241" s="35" t="s">
        <v>34</v>
      </c>
      <c r="B241" s="29" t="s">
        <v>46</v>
      </c>
      <c r="C241" s="59"/>
      <c r="D241" s="46" t="s">
        <v>51</v>
      </c>
      <c r="E241" s="96"/>
      <c r="F241" s="97"/>
      <c r="G241" s="98"/>
      <c r="H241" s="99"/>
    </row>
    <row r="242" spans="1:8" s="4" customFormat="1" ht="21.6" hidden="1" customHeight="1" x14ac:dyDescent="0.25">
      <c r="A242" s="53" t="s">
        <v>7</v>
      </c>
      <c r="B242" s="54" t="s">
        <v>49</v>
      </c>
      <c r="C242" s="59" t="s">
        <v>183</v>
      </c>
      <c r="D242" s="46" t="s">
        <v>130</v>
      </c>
      <c r="E242" s="96">
        <f t="shared" si="14"/>
        <v>0</v>
      </c>
      <c r="F242" s="97"/>
      <c r="G242" s="98"/>
      <c r="H242" s="99"/>
    </row>
    <row r="243" spans="1:8" s="6" customFormat="1" ht="25.2" customHeight="1" x14ac:dyDescent="0.25">
      <c r="A243" s="56"/>
      <c r="B243" s="68" t="s">
        <v>137</v>
      </c>
      <c r="C243" s="58" t="s">
        <v>118</v>
      </c>
      <c r="D243" s="59"/>
      <c r="E243" s="121">
        <f t="shared" si="14"/>
        <v>682.90699999999993</v>
      </c>
      <c r="F243" s="122">
        <f>SUM(F245:F254)</f>
        <v>672.72699999999998</v>
      </c>
      <c r="G243" s="123">
        <f>SUM(G245:G254)</f>
        <v>372.09999999999997</v>
      </c>
      <c r="H243" s="124">
        <f>SUM(H245:H254)</f>
        <v>10.18</v>
      </c>
    </row>
    <row r="244" spans="1:8" ht="17.399999999999999" customHeight="1" x14ac:dyDescent="0.25">
      <c r="A244" s="62"/>
      <c r="B244" s="8" t="s">
        <v>2</v>
      </c>
      <c r="C244" s="63"/>
      <c r="D244" s="61"/>
      <c r="E244" s="96"/>
      <c r="F244" s="97"/>
      <c r="G244" s="98"/>
      <c r="H244" s="99"/>
    </row>
    <row r="245" spans="1:8" s="4" customFormat="1" ht="27.75" hidden="1" customHeight="1" x14ac:dyDescent="0.25">
      <c r="A245" s="67" t="s">
        <v>23</v>
      </c>
      <c r="B245" s="48" t="s">
        <v>35</v>
      </c>
      <c r="C245" s="59"/>
      <c r="D245" s="46" t="s">
        <v>130</v>
      </c>
      <c r="E245" s="96">
        <f t="shared" ref="E245:E254" si="15">SUM(F245,H245)</f>
        <v>0</v>
      </c>
      <c r="F245" s="97"/>
      <c r="G245" s="98"/>
      <c r="H245" s="99"/>
    </row>
    <row r="246" spans="1:8" s="4" customFormat="1" ht="27.75" customHeight="1" x14ac:dyDescent="0.25">
      <c r="A246" s="69" t="s">
        <v>26</v>
      </c>
      <c r="B246" s="70" t="s">
        <v>42</v>
      </c>
      <c r="C246" s="59" t="s">
        <v>88</v>
      </c>
      <c r="D246" s="46" t="s">
        <v>130</v>
      </c>
      <c r="E246" s="96">
        <f t="shared" si="15"/>
        <v>336.61</v>
      </c>
      <c r="F246" s="97">
        <v>336.61</v>
      </c>
      <c r="G246" s="98">
        <v>264.64</v>
      </c>
      <c r="H246" s="99"/>
    </row>
    <row r="247" spans="1:8" s="4" customFormat="1" ht="27" customHeight="1" x14ac:dyDescent="0.25">
      <c r="A247" s="64" t="s">
        <v>32</v>
      </c>
      <c r="B247" s="70" t="s">
        <v>135</v>
      </c>
      <c r="C247" s="59" t="s">
        <v>89</v>
      </c>
      <c r="D247" s="46" t="s">
        <v>130</v>
      </c>
      <c r="E247" s="96">
        <f t="shared" si="15"/>
        <v>65.504999999999995</v>
      </c>
      <c r="F247" s="97">
        <f>63.005</f>
        <v>63.005000000000003</v>
      </c>
      <c r="G247" s="98">
        <f>4</f>
        <v>4</v>
      </c>
      <c r="H247" s="99">
        <f>2.5</f>
        <v>2.5</v>
      </c>
    </row>
    <row r="248" spans="1:8" s="4" customFormat="1" ht="30.75" hidden="1" customHeight="1" x14ac:dyDescent="0.25">
      <c r="A248" s="53" t="s">
        <v>31</v>
      </c>
      <c r="B248" s="54" t="s">
        <v>44</v>
      </c>
      <c r="C248" s="59"/>
      <c r="D248" s="46" t="s">
        <v>130</v>
      </c>
      <c r="E248" s="96">
        <f t="shared" si="15"/>
        <v>0</v>
      </c>
      <c r="F248" s="97"/>
      <c r="G248" s="98"/>
      <c r="H248" s="99"/>
    </row>
    <row r="249" spans="1:8" s="4" customFormat="1" ht="24" hidden="1" customHeight="1" x14ac:dyDescent="0.25">
      <c r="A249" s="53" t="s">
        <v>40</v>
      </c>
      <c r="B249" s="54" t="s">
        <v>129</v>
      </c>
      <c r="C249" s="59"/>
      <c r="D249" s="46" t="s">
        <v>130</v>
      </c>
      <c r="E249" s="96">
        <f t="shared" si="15"/>
        <v>0</v>
      </c>
      <c r="F249" s="97"/>
      <c r="G249" s="98"/>
      <c r="H249" s="99"/>
    </row>
    <row r="250" spans="1:8" s="4" customFormat="1" ht="23.25" hidden="1" customHeight="1" x14ac:dyDescent="0.25">
      <c r="A250" s="53" t="s">
        <v>24</v>
      </c>
      <c r="B250" s="54" t="s">
        <v>45</v>
      </c>
      <c r="C250" s="59"/>
      <c r="D250" s="46" t="s">
        <v>130</v>
      </c>
      <c r="E250" s="96">
        <f t="shared" si="15"/>
        <v>0</v>
      </c>
      <c r="F250" s="97"/>
      <c r="G250" s="98"/>
      <c r="H250" s="99"/>
    </row>
    <row r="251" spans="1:8" s="4" customFormat="1" ht="23.25" customHeight="1" x14ac:dyDescent="0.25">
      <c r="A251" s="64" t="s">
        <v>33</v>
      </c>
      <c r="B251" s="65" t="s">
        <v>47</v>
      </c>
      <c r="C251" s="59" t="s">
        <v>90</v>
      </c>
      <c r="D251" s="46" t="s">
        <v>130</v>
      </c>
      <c r="E251" s="96">
        <f t="shared" si="15"/>
        <v>2.08</v>
      </c>
      <c r="F251" s="97">
        <v>2.08</v>
      </c>
      <c r="G251" s="98"/>
      <c r="H251" s="99"/>
    </row>
    <row r="252" spans="1:8" s="4" customFormat="1" ht="25.5" customHeight="1" x14ac:dyDescent="0.25">
      <c r="A252" s="311" t="s">
        <v>41</v>
      </c>
      <c r="B252" s="309" t="s">
        <v>48</v>
      </c>
      <c r="C252" s="59" t="s">
        <v>185</v>
      </c>
      <c r="D252" s="46" t="s">
        <v>130</v>
      </c>
      <c r="E252" s="96">
        <f t="shared" si="15"/>
        <v>238.81200000000001</v>
      </c>
      <c r="F252" s="97">
        <f>100.152+130.98</f>
        <v>231.13200000000001</v>
      </c>
      <c r="G252" s="98">
        <f>3.7+76.21</f>
        <v>79.91</v>
      </c>
      <c r="H252" s="99">
        <v>7.68</v>
      </c>
    </row>
    <row r="253" spans="1:8" s="4" customFormat="1" ht="25.5" hidden="1" customHeight="1" x14ac:dyDescent="0.25">
      <c r="A253" s="312"/>
      <c r="B253" s="310"/>
      <c r="C253" s="59"/>
      <c r="D253" s="46" t="s">
        <v>39</v>
      </c>
      <c r="E253" s="96">
        <f t="shared" si="15"/>
        <v>0</v>
      </c>
      <c r="F253" s="97"/>
      <c r="G253" s="98"/>
      <c r="H253" s="99"/>
    </row>
    <row r="254" spans="1:8" s="6" customFormat="1" ht="26.25" customHeight="1" x14ac:dyDescent="0.25">
      <c r="A254" s="64" t="s">
        <v>7</v>
      </c>
      <c r="B254" s="54" t="s">
        <v>49</v>
      </c>
      <c r="C254" s="59" t="s">
        <v>186</v>
      </c>
      <c r="D254" s="46" t="s">
        <v>130</v>
      </c>
      <c r="E254" s="96">
        <f t="shared" si="15"/>
        <v>39.9</v>
      </c>
      <c r="F254" s="97">
        <v>39.9</v>
      </c>
      <c r="G254" s="98">
        <v>23.55</v>
      </c>
      <c r="H254" s="99"/>
    </row>
    <row r="255" spans="1:8" s="6" customFormat="1" ht="30" customHeight="1" x14ac:dyDescent="0.25">
      <c r="A255" s="56"/>
      <c r="B255" s="44" t="s">
        <v>17</v>
      </c>
      <c r="C255" s="58" t="s">
        <v>119</v>
      </c>
      <c r="D255" s="61"/>
      <c r="E255" s="121">
        <f>SUM(F255,H255)</f>
        <v>840.93200000000002</v>
      </c>
      <c r="F255" s="122">
        <f>SUM(F257:F264)</f>
        <v>831.58199999999999</v>
      </c>
      <c r="G255" s="123">
        <f>SUM(G257:G264)</f>
        <v>691.1400000000001</v>
      </c>
      <c r="H255" s="124">
        <f>SUM(H258:H264)</f>
        <v>9.35</v>
      </c>
    </row>
    <row r="256" spans="1:8" ht="17.399999999999999" customHeight="1" x14ac:dyDescent="0.25">
      <c r="A256" s="62"/>
      <c r="B256" s="8" t="s">
        <v>2</v>
      </c>
      <c r="C256" s="63"/>
      <c r="D256" s="61"/>
      <c r="E256" s="96"/>
      <c r="F256" s="97"/>
      <c r="G256" s="98"/>
      <c r="H256" s="99"/>
    </row>
    <row r="257" spans="1:8" ht="21.75" customHeight="1" x14ac:dyDescent="0.25">
      <c r="A257" s="69" t="s">
        <v>26</v>
      </c>
      <c r="B257" s="70" t="s">
        <v>42</v>
      </c>
      <c r="C257" s="59" t="s">
        <v>91</v>
      </c>
      <c r="D257" s="55" t="s">
        <v>130</v>
      </c>
      <c r="E257" s="96">
        <f>SUM(F257,H257)</f>
        <v>3.48</v>
      </c>
      <c r="F257" s="97">
        <v>3.48</v>
      </c>
      <c r="G257" s="98">
        <v>3.03</v>
      </c>
      <c r="H257" s="99"/>
    </row>
    <row r="258" spans="1:8" s="4" customFormat="1" ht="21.6" customHeight="1" x14ac:dyDescent="0.25">
      <c r="A258" s="345" t="s">
        <v>32</v>
      </c>
      <c r="B258" s="309" t="s">
        <v>43</v>
      </c>
      <c r="C258" s="59" t="s">
        <v>92</v>
      </c>
      <c r="D258" s="46" t="s">
        <v>130</v>
      </c>
      <c r="E258" s="96">
        <f>SUM(F258,H258)</f>
        <v>815.721</v>
      </c>
      <c r="F258" s="97">
        <f>44.731+761.64</f>
        <v>806.37099999999998</v>
      </c>
      <c r="G258" s="98">
        <f>15.7+660.97</f>
        <v>676.67000000000007</v>
      </c>
      <c r="H258" s="99">
        <f>2.65+6.7</f>
        <v>9.35</v>
      </c>
    </row>
    <row r="259" spans="1:8" s="4" customFormat="1" ht="21.6" customHeight="1" x14ac:dyDescent="0.25">
      <c r="A259" s="346"/>
      <c r="B259" s="314"/>
      <c r="C259" s="59" t="s">
        <v>93</v>
      </c>
      <c r="D259" s="46" t="s">
        <v>50</v>
      </c>
      <c r="E259" s="96">
        <f>SUM(F259,H259)</f>
        <v>10.51</v>
      </c>
      <c r="F259" s="97">
        <v>10.51</v>
      </c>
      <c r="G259" s="98">
        <v>10.36</v>
      </c>
      <c r="H259" s="99"/>
    </row>
    <row r="260" spans="1:8" s="4" customFormat="1" ht="21.6" customHeight="1" x14ac:dyDescent="0.25">
      <c r="A260" s="347"/>
      <c r="B260" s="310"/>
      <c r="C260" s="59" t="s">
        <v>94</v>
      </c>
      <c r="D260" s="46" t="s">
        <v>140</v>
      </c>
      <c r="E260" s="96">
        <f t="shared" ref="E260:E261" si="16">SUM(F260,H260)</f>
        <v>1.1000000000000001</v>
      </c>
      <c r="F260" s="97">
        <v>1.1000000000000001</v>
      </c>
      <c r="G260" s="98">
        <v>1.08</v>
      </c>
      <c r="H260" s="99"/>
    </row>
    <row r="261" spans="1:8" s="4" customFormat="1" ht="21.6" hidden="1" customHeight="1" x14ac:dyDescent="0.25">
      <c r="A261" s="53" t="s">
        <v>40</v>
      </c>
      <c r="B261" s="54" t="s">
        <v>129</v>
      </c>
      <c r="C261" s="59"/>
      <c r="D261" s="46" t="s">
        <v>130</v>
      </c>
      <c r="E261" s="96">
        <f t="shared" si="16"/>
        <v>0</v>
      </c>
      <c r="F261" s="97"/>
      <c r="G261" s="98"/>
      <c r="H261" s="99"/>
    </row>
    <row r="262" spans="1:8" s="4" customFormat="1" ht="21.6" hidden="1" customHeight="1" x14ac:dyDescent="0.25">
      <c r="A262" s="53" t="s">
        <v>24</v>
      </c>
      <c r="B262" s="54" t="s">
        <v>45</v>
      </c>
      <c r="C262" s="59"/>
      <c r="D262" s="46" t="s">
        <v>130</v>
      </c>
      <c r="E262" s="96"/>
      <c r="F262" s="97"/>
      <c r="G262" s="98"/>
      <c r="H262" s="99"/>
    </row>
    <row r="263" spans="1:8" s="4" customFormat="1" ht="21.6" customHeight="1" x14ac:dyDescent="0.25">
      <c r="A263" s="53" t="s">
        <v>33</v>
      </c>
      <c r="B263" s="60" t="s">
        <v>47</v>
      </c>
      <c r="C263" s="59" t="s">
        <v>120</v>
      </c>
      <c r="D263" s="46" t="s">
        <v>130</v>
      </c>
      <c r="E263" s="96">
        <f>SUM(F263,H263)</f>
        <v>0.12</v>
      </c>
      <c r="F263" s="97">
        <v>0.12</v>
      </c>
      <c r="G263" s="98"/>
      <c r="H263" s="99"/>
    </row>
    <row r="264" spans="1:8" s="6" customFormat="1" ht="22.5" customHeight="1" x14ac:dyDescent="0.25">
      <c r="A264" s="64" t="s">
        <v>7</v>
      </c>
      <c r="B264" s="54" t="s">
        <v>49</v>
      </c>
      <c r="C264" s="59" t="s">
        <v>121</v>
      </c>
      <c r="D264" s="46" t="s">
        <v>130</v>
      </c>
      <c r="E264" s="96">
        <f>SUM(F264,H264)</f>
        <v>10.000999999999999</v>
      </c>
      <c r="F264" s="97">
        <v>10.000999999999999</v>
      </c>
      <c r="G264" s="98"/>
      <c r="H264" s="99"/>
    </row>
    <row r="265" spans="1:8" s="6" customFormat="1" ht="30" customHeight="1" x14ac:dyDescent="0.25">
      <c r="A265" s="56"/>
      <c r="B265" s="44" t="s">
        <v>19</v>
      </c>
      <c r="C265" s="58" t="s">
        <v>122</v>
      </c>
      <c r="D265" s="61"/>
      <c r="E265" s="121">
        <f>SUM(F265,H265)</f>
        <v>237.35</v>
      </c>
      <c r="F265" s="122">
        <f>SUM(F267:F268)</f>
        <v>237.35</v>
      </c>
      <c r="G265" s="123">
        <f>SUM(G267:G268)</f>
        <v>204.18</v>
      </c>
      <c r="H265" s="124">
        <f>SUM(H267:H268)</f>
        <v>0</v>
      </c>
    </row>
    <row r="266" spans="1:8" ht="17.399999999999999" customHeight="1" x14ac:dyDescent="0.25">
      <c r="A266" s="62"/>
      <c r="B266" s="8" t="s">
        <v>2</v>
      </c>
      <c r="C266" s="63"/>
      <c r="D266" s="61"/>
      <c r="E266" s="96"/>
      <c r="F266" s="97"/>
      <c r="G266" s="98"/>
      <c r="H266" s="99"/>
    </row>
    <row r="267" spans="1:8" s="4" customFormat="1" ht="30.75" customHeight="1" x14ac:dyDescent="0.25">
      <c r="A267" s="345" t="s">
        <v>31</v>
      </c>
      <c r="B267" s="309" t="s">
        <v>44</v>
      </c>
      <c r="C267" s="59" t="s">
        <v>95</v>
      </c>
      <c r="D267" s="46" t="s">
        <v>130</v>
      </c>
      <c r="E267" s="96">
        <f>SUM(F267,H267)</f>
        <v>237.35</v>
      </c>
      <c r="F267" s="97">
        <f>0.35+237</f>
        <v>237.35</v>
      </c>
      <c r="G267" s="98">
        <v>204.18</v>
      </c>
      <c r="H267" s="99"/>
    </row>
    <row r="268" spans="1:8" s="4" customFormat="1" ht="21.6" hidden="1" customHeight="1" x14ac:dyDescent="0.25">
      <c r="A268" s="347"/>
      <c r="B268" s="310"/>
      <c r="C268" s="59" t="s">
        <v>99</v>
      </c>
      <c r="D268" s="46" t="s">
        <v>50</v>
      </c>
      <c r="E268" s="96">
        <f>SUM(F268,H268)</f>
        <v>0</v>
      </c>
      <c r="F268" s="97"/>
      <c r="G268" s="98"/>
      <c r="H268" s="99"/>
    </row>
    <row r="269" spans="1:8" s="6" customFormat="1" ht="28.5" customHeight="1" x14ac:dyDescent="0.25">
      <c r="A269" s="56"/>
      <c r="B269" s="44" t="s">
        <v>18</v>
      </c>
      <c r="C269" s="58" t="s">
        <v>123</v>
      </c>
      <c r="D269" s="61"/>
      <c r="E269" s="121">
        <f>SUM(F269,H269)</f>
        <v>1002.9989999999999</v>
      </c>
      <c r="F269" s="122">
        <f>SUM(F271:F275)</f>
        <v>969.99799999999993</v>
      </c>
      <c r="G269" s="123">
        <f>SUM(G271:G275)</f>
        <v>651.39499999999998</v>
      </c>
      <c r="H269" s="124">
        <f>SUM(H271:H275)</f>
        <v>33.000999999999998</v>
      </c>
    </row>
    <row r="270" spans="1:8" ht="17.399999999999999" customHeight="1" x14ac:dyDescent="0.25">
      <c r="A270" s="62"/>
      <c r="B270" s="8" t="s">
        <v>2</v>
      </c>
      <c r="C270" s="63"/>
      <c r="D270" s="61"/>
      <c r="E270" s="96"/>
      <c r="F270" s="97"/>
      <c r="G270" s="98"/>
      <c r="H270" s="99"/>
    </row>
    <row r="271" spans="1:8" s="4" customFormat="1" ht="30.75" customHeight="1" x14ac:dyDescent="0.25">
      <c r="A271" s="67" t="s">
        <v>31</v>
      </c>
      <c r="B271" s="70" t="s">
        <v>44</v>
      </c>
      <c r="C271" s="59" t="s">
        <v>96</v>
      </c>
      <c r="D271" s="46" t="s">
        <v>130</v>
      </c>
      <c r="E271" s="96">
        <f t="shared" ref="E271:E275" si="17">SUM(F271,H271)</f>
        <v>814.1579999999999</v>
      </c>
      <c r="F271" s="97">
        <f>43.598+770.56</f>
        <v>814.1579999999999</v>
      </c>
      <c r="G271" s="98">
        <f>8.49+641.485</f>
        <v>649.97500000000002</v>
      </c>
      <c r="H271" s="99"/>
    </row>
    <row r="272" spans="1:8" s="6" customFormat="1" ht="21.6" customHeight="1" x14ac:dyDescent="0.25">
      <c r="A272" s="53" t="s">
        <v>33</v>
      </c>
      <c r="B272" s="48" t="s">
        <v>47</v>
      </c>
      <c r="C272" s="59" t="s">
        <v>187</v>
      </c>
      <c r="D272" s="31" t="s">
        <v>130</v>
      </c>
      <c r="E272" s="96">
        <f t="shared" si="17"/>
        <v>2.76</v>
      </c>
      <c r="F272" s="97">
        <v>2.76</v>
      </c>
      <c r="G272" s="98"/>
      <c r="H272" s="99"/>
    </row>
    <row r="273" spans="1:8" s="6" customFormat="1" ht="22.5" customHeight="1" x14ac:dyDescent="0.25">
      <c r="A273" s="311" t="s">
        <v>7</v>
      </c>
      <c r="B273" s="309" t="s">
        <v>49</v>
      </c>
      <c r="C273" s="59" t="s">
        <v>197</v>
      </c>
      <c r="D273" s="46" t="s">
        <v>130</v>
      </c>
      <c r="E273" s="96">
        <f t="shared" si="17"/>
        <v>9.4130000000000003</v>
      </c>
      <c r="F273" s="97">
        <v>6.4119999999999999</v>
      </c>
      <c r="G273" s="98"/>
      <c r="H273" s="99">
        <v>3.0009999999999999</v>
      </c>
    </row>
    <row r="274" spans="1:8" s="6" customFormat="1" ht="21.75" customHeight="1" x14ac:dyDescent="0.25">
      <c r="A274" s="313"/>
      <c r="B274" s="314"/>
      <c r="C274" s="59" t="s">
        <v>201</v>
      </c>
      <c r="D274" s="46" t="s">
        <v>190</v>
      </c>
      <c r="E274" s="96">
        <f t="shared" si="17"/>
        <v>99.472999999999999</v>
      </c>
      <c r="F274" s="97">
        <v>99.472999999999999</v>
      </c>
      <c r="G274" s="98">
        <v>1.42</v>
      </c>
      <c r="H274" s="99"/>
    </row>
    <row r="275" spans="1:8" s="6" customFormat="1" ht="20.25" customHeight="1" x14ac:dyDescent="0.25">
      <c r="A275" s="312"/>
      <c r="B275" s="310"/>
      <c r="C275" s="59" t="s">
        <v>211</v>
      </c>
      <c r="D275" s="46" t="s">
        <v>140</v>
      </c>
      <c r="E275" s="96">
        <f t="shared" si="17"/>
        <v>77.194999999999993</v>
      </c>
      <c r="F275" s="97">
        <v>47.195</v>
      </c>
      <c r="G275" s="98"/>
      <c r="H275" s="99">
        <v>30</v>
      </c>
    </row>
    <row r="276" spans="1:8" s="6" customFormat="1" ht="27.6" customHeight="1" x14ac:dyDescent="0.25">
      <c r="A276" s="56"/>
      <c r="B276" s="44" t="s">
        <v>16</v>
      </c>
      <c r="C276" s="58" t="s">
        <v>124</v>
      </c>
      <c r="D276" s="59"/>
      <c r="E276" s="121">
        <f>SUM(F276,H276)</f>
        <v>900.31299999999999</v>
      </c>
      <c r="F276" s="122">
        <f>SUM(F278:F283,F284:F286)</f>
        <v>877.37800000000004</v>
      </c>
      <c r="G276" s="123">
        <f>SUM(G278:G286)</f>
        <v>691.529</v>
      </c>
      <c r="H276" s="124">
        <f>SUM(H278:H286)</f>
        <v>22.934999999999999</v>
      </c>
    </row>
    <row r="277" spans="1:8" ht="17.399999999999999" customHeight="1" x14ac:dyDescent="0.25">
      <c r="A277" s="62"/>
      <c r="B277" s="8" t="s">
        <v>2</v>
      </c>
      <c r="C277" s="63"/>
      <c r="D277" s="61"/>
      <c r="E277" s="96"/>
      <c r="F277" s="97"/>
      <c r="G277" s="98"/>
      <c r="H277" s="99"/>
    </row>
    <row r="278" spans="1:8" ht="24" hidden="1" customHeight="1" x14ac:dyDescent="0.25">
      <c r="A278" s="69" t="s">
        <v>26</v>
      </c>
      <c r="B278" s="70" t="s">
        <v>42</v>
      </c>
      <c r="C278" s="59"/>
      <c r="D278" s="55" t="s">
        <v>130</v>
      </c>
      <c r="E278" s="96"/>
      <c r="F278" s="97"/>
      <c r="G278" s="98"/>
      <c r="H278" s="99"/>
    </row>
    <row r="279" spans="1:8" s="4" customFormat="1" ht="21.6" customHeight="1" x14ac:dyDescent="0.25">
      <c r="A279" s="351" t="s">
        <v>24</v>
      </c>
      <c r="B279" s="354" t="s">
        <v>45</v>
      </c>
      <c r="C279" s="59" t="s">
        <v>97</v>
      </c>
      <c r="D279" s="46" t="s">
        <v>130</v>
      </c>
      <c r="E279" s="96">
        <f t="shared" ref="E279:E287" si="18">SUM(F279,H279)</f>
        <v>394.23500000000001</v>
      </c>
      <c r="F279" s="97">
        <f>159.552+229.683</f>
        <v>389.23500000000001</v>
      </c>
      <c r="G279" s="98">
        <f>106.49+171.18</f>
        <v>277.67</v>
      </c>
      <c r="H279" s="99">
        <v>5</v>
      </c>
    </row>
    <row r="280" spans="1:8" s="4" customFormat="1" ht="21.6" customHeight="1" x14ac:dyDescent="0.25">
      <c r="A280" s="352"/>
      <c r="B280" s="358"/>
      <c r="C280" s="59" t="s">
        <v>98</v>
      </c>
      <c r="D280" s="46" t="s">
        <v>39</v>
      </c>
      <c r="E280" s="96">
        <f t="shared" si="18"/>
        <v>412.05</v>
      </c>
      <c r="F280" s="97">
        <v>412.05</v>
      </c>
      <c r="G280" s="98">
        <v>367.8</v>
      </c>
      <c r="H280" s="99"/>
    </row>
    <row r="281" spans="1:8" s="4" customFormat="1" ht="21.6" customHeight="1" x14ac:dyDescent="0.25">
      <c r="A281" s="353"/>
      <c r="B281" s="355"/>
      <c r="C281" s="59" t="s">
        <v>99</v>
      </c>
      <c r="D281" s="46" t="s">
        <v>190</v>
      </c>
      <c r="E281" s="96">
        <f t="shared" si="18"/>
        <v>47.966000000000001</v>
      </c>
      <c r="F281" s="97">
        <v>47.966000000000001</v>
      </c>
      <c r="G281" s="98">
        <v>45.569000000000003</v>
      </c>
      <c r="H281" s="99"/>
    </row>
    <row r="282" spans="1:8" s="4" customFormat="1" ht="21.6" customHeight="1" x14ac:dyDescent="0.25">
      <c r="A282" s="351" t="s">
        <v>34</v>
      </c>
      <c r="B282" s="354" t="s">
        <v>46</v>
      </c>
      <c r="C282" s="59" t="s">
        <v>194</v>
      </c>
      <c r="D282" s="30" t="s">
        <v>130</v>
      </c>
      <c r="E282" s="96">
        <f t="shared" si="18"/>
        <v>0.5</v>
      </c>
      <c r="F282" s="97">
        <v>0.5</v>
      </c>
      <c r="G282" s="98">
        <v>0.49</v>
      </c>
      <c r="H282" s="99"/>
    </row>
    <row r="283" spans="1:8" s="4" customFormat="1" ht="21.6" hidden="1" customHeight="1" x14ac:dyDescent="0.25">
      <c r="A283" s="353"/>
      <c r="B283" s="355"/>
      <c r="C283" s="59"/>
      <c r="D283" s="30" t="s">
        <v>51</v>
      </c>
      <c r="E283" s="96"/>
      <c r="F283" s="97"/>
      <c r="G283" s="98"/>
      <c r="H283" s="99"/>
    </row>
    <row r="284" spans="1:8" s="4" customFormat="1" ht="21.6" customHeight="1" x14ac:dyDescent="0.25">
      <c r="A284" s="53" t="s">
        <v>33</v>
      </c>
      <c r="B284" s="48" t="s">
        <v>47</v>
      </c>
      <c r="C284" s="59" t="s">
        <v>195</v>
      </c>
      <c r="D284" s="30" t="s">
        <v>130</v>
      </c>
      <c r="E284" s="96">
        <f t="shared" si="18"/>
        <v>2.7069999999999999</v>
      </c>
      <c r="F284" s="97">
        <v>2.7069999999999999</v>
      </c>
      <c r="G284" s="98"/>
      <c r="H284" s="99"/>
    </row>
    <row r="285" spans="1:8" s="4" customFormat="1" ht="21.6" customHeight="1" x14ac:dyDescent="0.25">
      <c r="A285" s="311" t="s">
        <v>7</v>
      </c>
      <c r="B285" s="309" t="s">
        <v>49</v>
      </c>
      <c r="C285" s="59" t="s">
        <v>202</v>
      </c>
      <c r="D285" s="46" t="s">
        <v>130</v>
      </c>
      <c r="E285" s="96">
        <f t="shared" si="18"/>
        <v>42.855000000000004</v>
      </c>
      <c r="F285" s="97">
        <v>24.92</v>
      </c>
      <c r="G285" s="98"/>
      <c r="H285" s="99">
        <v>17.934999999999999</v>
      </c>
    </row>
    <row r="286" spans="1:8" s="4" customFormat="1" ht="21.6" hidden="1" customHeight="1" x14ac:dyDescent="0.25">
      <c r="A286" s="312"/>
      <c r="B286" s="310"/>
      <c r="C286" s="59"/>
      <c r="D286" s="71"/>
      <c r="E286" s="96"/>
      <c r="F286" s="97"/>
      <c r="G286" s="98"/>
      <c r="H286" s="99"/>
    </row>
    <row r="287" spans="1:8" s="6" customFormat="1" ht="24.75" customHeight="1" x14ac:dyDescent="0.25">
      <c r="A287" s="62"/>
      <c r="B287" s="44" t="s">
        <v>214</v>
      </c>
      <c r="C287" s="72" t="s">
        <v>125</v>
      </c>
      <c r="D287" s="73"/>
      <c r="E287" s="121">
        <f t="shared" si="18"/>
        <v>464.92100000000005</v>
      </c>
      <c r="F287" s="122">
        <f>SUM(F290:F295)</f>
        <v>464.92100000000005</v>
      </c>
      <c r="G287" s="123">
        <f>SUM(G290:G295)</f>
        <v>368.44</v>
      </c>
      <c r="H287" s="124">
        <f>SUM(H290:H295)</f>
        <v>0</v>
      </c>
    </row>
    <row r="288" spans="1:8" ht="17.399999999999999" customHeight="1" x14ac:dyDescent="0.25">
      <c r="A288" s="62"/>
      <c r="B288" s="8" t="s">
        <v>2</v>
      </c>
      <c r="C288" s="63"/>
      <c r="D288" s="61"/>
      <c r="E288" s="96"/>
      <c r="F288" s="97"/>
      <c r="G288" s="98"/>
      <c r="H288" s="99"/>
    </row>
    <row r="289" spans="1:8" ht="17.399999999999999" hidden="1" customHeight="1" x14ac:dyDescent="0.25">
      <c r="A289" s="69" t="s">
        <v>26</v>
      </c>
      <c r="B289" s="70" t="s">
        <v>42</v>
      </c>
      <c r="C289" s="59"/>
      <c r="D289" s="55" t="s">
        <v>130</v>
      </c>
      <c r="E289" s="96"/>
      <c r="F289" s="97"/>
      <c r="G289" s="98"/>
      <c r="H289" s="99"/>
    </row>
    <row r="290" spans="1:8" s="4" customFormat="1" ht="21.6" customHeight="1" x14ac:dyDescent="0.25">
      <c r="A290" s="345" t="s">
        <v>24</v>
      </c>
      <c r="B290" s="309" t="s">
        <v>45</v>
      </c>
      <c r="C290" s="59" t="s">
        <v>100</v>
      </c>
      <c r="D290" s="46" t="s">
        <v>130</v>
      </c>
      <c r="E290" s="96">
        <f t="shared" ref="E290:E296" si="19">SUM(F290,H290)</f>
        <v>431.42100000000005</v>
      </c>
      <c r="F290" s="97">
        <f>7.571+423.85</f>
        <v>431.42100000000005</v>
      </c>
      <c r="G290" s="98">
        <v>351.34</v>
      </c>
      <c r="H290" s="99"/>
    </row>
    <row r="291" spans="1:8" s="4" customFormat="1" ht="21.6" customHeight="1" x14ac:dyDescent="0.25">
      <c r="A291" s="347"/>
      <c r="B291" s="310"/>
      <c r="C291" s="59" t="s">
        <v>103</v>
      </c>
      <c r="D291" s="46" t="s">
        <v>39</v>
      </c>
      <c r="E291" s="96">
        <f t="shared" si="19"/>
        <v>22.66</v>
      </c>
      <c r="F291" s="97">
        <v>22.66</v>
      </c>
      <c r="G291" s="98">
        <v>17.100000000000001</v>
      </c>
      <c r="H291" s="99"/>
    </row>
    <row r="292" spans="1:8" s="4" customFormat="1" ht="21.6" hidden="1" customHeight="1" x14ac:dyDescent="0.25">
      <c r="A292" s="35" t="s">
        <v>34</v>
      </c>
      <c r="B292" s="29" t="s">
        <v>46</v>
      </c>
      <c r="C292" s="59"/>
      <c r="D292" s="46" t="s">
        <v>51</v>
      </c>
      <c r="E292" s="96"/>
      <c r="F292" s="97"/>
      <c r="G292" s="98"/>
      <c r="H292" s="99"/>
    </row>
    <row r="293" spans="1:8" s="4" customFormat="1" ht="21.6" customHeight="1" x14ac:dyDescent="0.25">
      <c r="A293" s="311" t="s">
        <v>33</v>
      </c>
      <c r="B293" s="309" t="s">
        <v>47</v>
      </c>
      <c r="C293" s="59" t="s">
        <v>126</v>
      </c>
      <c r="D293" s="46" t="s">
        <v>130</v>
      </c>
      <c r="E293" s="96">
        <f t="shared" si="19"/>
        <v>0.84</v>
      </c>
      <c r="F293" s="97">
        <v>0.84</v>
      </c>
      <c r="G293" s="98"/>
      <c r="H293" s="99"/>
    </row>
    <row r="294" spans="1:8" s="4" customFormat="1" ht="21.6" hidden="1" customHeight="1" x14ac:dyDescent="0.25">
      <c r="A294" s="312"/>
      <c r="B294" s="310"/>
      <c r="C294" s="59" t="s">
        <v>203</v>
      </c>
      <c r="D294" s="46" t="s">
        <v>51</v>
      </c>
      <c r="E294" s="96">
        <f t="shared" si="19"/>
        <v>0</v>
      </c>
      <c r="F294" s="97"/>
      <c r="G294" s="98"/>
      <c r="H294" s="99"/>
    </row>
    <row r="295" spans="1:8" s="4" customFormat="1" ht="21.6" customHeight="1" x14ac:dyDescent="0.25">
      <c r="A295" s="74" t="s">
        <v>7</v>
      </c>
      <c r="B295" s="70" t="s">
        <v>49</v>
      </c>
      <c r="C295" s="59" t="s">
        <v>193</v>
      </c>
      <c r="D295" s="46" t="s">
        <v>130</v>
      </c>
      <c r="E295" s="96">
        <f t="shared" si="19"/>
        <v>10</v>
      </c>
      <c r="F295" s="97">
        <v>10</v>
      </c>
      <c r="G295" s="98"/>
      <c r="H295" s="99"/>
    </row>
    <row r="296" spans="1:8" s="6" customFormat="1" ht="26.4" customHeight="1" x14ac:dyDescent="0.25">
      <c r="A296" s="56"/>
      <c r="B296" s="44" t="s">
        <v>3</v>
      </c>
      <c r="C296" s="58" t="s">
        <v>127</v>
      </c>
      <c r="D296" s="61"/>
      <c r="E296" s="121">
        <f t="shared" si="19"/>
        <v>4</v>
      </c>
      <c r="F296" s="122">
        <f>SUM(F298)</f>
        <v>4</v>
      </c>
      <c r="G296" s="123">
        <f>SUM(G298)</f>
        <v>0</v>
      </c>
      <c r="H296" s="124">
        <f>H298</f>
        <v>0</v>
      </c>
    </row>
    <row r="297" spans="1:8" ht="18" customHeight="1" x14ac:dyDescent="0.25">
      <c r="A297" s="47"/>
      <c r="B297" s="14" t="s">
        <v>2</v>
      </c>
      <c r="C297" s="46"/>
      <c r="D297" s="46"/>
      <c r="E297" s="96"/>
      <c r="F297" s="97"/>
      <c r="G297" s="98"/>
      <c r="H297" s="99"/>
    </row>
    <row r="298" spans="1:8" ht="23.25" customHeight="1" thickBot="1" x14ac:dyDescent="0.3">
      <c r="A298" s="71" t="s">
        <v>23</v>
      </c>
      <c r="B298" s="75" t="s">
        <v>35</v>
      </c>
      <c r="C298" s="71" t="s">
        <v>101</v>
      </c>
      <c r="D298" s="71" t="s">
        <v>130</v>
      </c>
      <c r="E298" s="100">
        <f>SUM(F298,H298)</f>
        <v>4</v>
      </c>
      <c r="F298" s="101">
        <v>4</v>
      </c>
      <c r="G298" s="102"/>
      <c r="H298" s="103"/>
    </row>
    <row r="299" spans="1:8" s="5" customFormat="1" ht="26.25" customHeight="1" thickBot="1" x14ac:dyDescent="0.3">
      <c r="A299" s="17"/>
      <c r="B299" s="18" t="s">
        <v>145</v>
      </c>
      <c r="C299" s="19" t="s">
        <v>128</v>
      </c>
      <c r="D299" s="19"/>
      <c r="E299" s="125">
        <f>SUM(F299,H299)</f>
        <v>27864.400000000001</v>
      </c>
      <c r="F299" s="126">
        <f>SUM(F296,F287,F276,F269,F265,F255,F243,F236,F222,F214,F207,F200,F192,F185,F176,F167,F156,F148,F140,F131,F97,F94)</f>
        <v>22686.507000000001</v>
      </c>
      <c r="G299" s="127">
        <f>SUM(G296,G287,G276,G269,G265,G255,G243,G236,G222,G214,G207,G200,G192,G185,G176,G167,G156,G148,G140,G131,G97,G94)</f>
        <v>13744.390000000001</v>
      </c>
      <c r="H299" s="128">
        <f>SUM(H296,H287,H276,H269,H265,H255,H243,H236,H222,H214,H207,H200,H192,H185,H176,H167,H156,H148,H140,H131,H97,H94)</f>
        <v>5177.8929999999991</v>
      </c>
    </row>
    <row r="300" spans="1:8" ht="30" customHeight="1" thickBot="1" x14ac:dyDescent="0.3">
      <c r="A300" s="76"/>
      <c r="B300" s="77" t="s">
        <v>143</v>
      </c>
      <c r="C300" s="17" t="s">
        <v>144</v>
      </c>
      <c r="D300" s="83"/>
      <c r="E300" s="132">
        <f>H300</f>
        <v>201.5</v>
      </c>
      <c r="F300" s="133"/>
      <c r="G300" s="134"/>
      <c r="H300" s="135">
        <v>201.5</v>
      </c>
    </row>
    <row r="301" spans="1:8" ht="29.25" customHeight="1" thickBot="1" x14ac:dyDescent="0.3">
      <c r="A301" s="20"/>
      <c r="B301" s="222" t="s">
        <v>199</v>
      </c>
      <c r="C301" s="78"/>
      <c r="D301" s="84"/>
      <c r="E301" s="125">
        <f>E299-E300</f>
        <v>27662.9</v>
      </c>
      <c r="F301" s="126">
        <f>F299-F300</f>
        <v>22686.507000000001</v>
      </c>
      <c r="G301" s="127">
        <f>G299-G300</f>
        <v>13744.390000000001</v>
      </c>
      <c r="H301" s="128">
        <f>H299-H300</f>
        <v>4976.3929999999991</v>
      </c>
    </row>
    <row r="302" spans="1:8" s="5" customFormat="1" ht="17.25" customHeight="1" thickBot="1" x14ac:dyDescent="0.3">
      <c r="A302" s="87"/>
      <c r="B302" s="88" t="s">
        <v>2</v>
      </c>
      <c r="C302" s="89"/>
      <c r="D302" s="89"/>
      <c r="E302" s="104"/>
      <c r="F302" s="105"/>
      <c r="G302" s="106"/>
      <c r="H302" s="107"/>
    </row>
    <row r="303" spans="1:8" ht="21" customHeight="1" x14ac:dyDescent="0.25">
      <c r="A303" s="25"/>
      <c r="B303" s="86" t="s">
        <v>131</v>
      </c>
      <c r="C303" s="303" t="s">
        <v>130</v>
      </c>
      <c r="D303" s="304"/>
      <c r="E303" s="108">
        <f>SUM(H303,F303)</f>
        <v>20622.519999999997</v>
      </c>
      <c r="F303" s="109">
        <f>SUM(F264,F206,F191,F184,F115,F273,F158,F298,F290,F279,F271,F267,F258,F248:F252,F245:F247,F239,F224,F216,F209,F202,F194,F187,F178,F175,F169,F159,F150,F147,F142,F139,F133,F128,F123,F119,F107,F103,F99,F96,F282,F284,F293,F272,F263,F231:F232,F220,F212,F205,F197,F190,F182,F174,F164,F154:F155,F146,F137,F254,F295,F238,F285,F213,F234,F221,F289,F278,F257,F199,F166,F229,F262,F109,F110,F111,F261,F228)</f>
        <v>16777.166999999998</v>
      </c>
      <c r="G303" s="110">
        <f t="shared" ref="G303" si="20">SUM(G264,G206,G191,G184,G115,G273,G158,G298,G290,G279,G271,G267,G258,G248:G252,G245:G247,G239,G224,G216,G209,G202,G194,G187,G178,G175,G169,G159,G150,G147,G142,G139,G133,G128,G123,G119,G107,G103,G99,G96,G282,G284,G293,G272,G263,G231:G232,G220,G212,G205,G197,G190,G182,G174,G164,G154:G155,G146,G137,G254,G295,G238,G285,G213,G234,G221,G289,G278,G257,G199,G166,G229,G262,G109,G110,G111)</f>
        <v>8791.2289999999994</v>
      </c>
      <c r="H303" s="111">
        <f>SUM(H264,H206,H191,H184,H115,H273,H158,H298,H290,H279,H271,H267,H258,H248:H252,H245:H247,H239,H224,H216,H209,H202,H194,H187,H178,H175,H169,H159,H150,H147,H142,H139,H133,H128,H123,H119,H107,H103,H99,H96,H282,H284,H293,H272,H263,H231:H232,H220,H212,H205,H197,H190,H182,H174,H164,H154:H155,H146,H137,H254,H295,H238,H285,H213,H234,H221,H289,H278,H257,H199,H166,H229,H262,H109,H110,H111)-H300</f>
        <v>3845.3530000000001</v>
      </c>
    </row>
    <row r="304" spans="1:8" ht="20.25" customHeight="1" x14ac:dyDescent="0.25">
      <c r="A304" s="22"/>
      <c r="B304" s="23" t="s">
        <v>132</v>
      </c>
      <c r="C304" s="305" t="s">
        <v>39</v>
      </c>
      <c r="D304" s="306"/>
      <c r="E304" s="96">
        <f>SUM(H304,F304)</f>
        <v>1118.2019999999998</v>
      </c>
      <c r="F304" s="97">
        <f>SUM(F116,F100,F112,F280,F291,F136,F145,F153,F163,F173,F180,F189,F196,F204,F211,F253,F124)</f>
        <v>1118.2019999999998</v>
      </c>
      <c r="G304" s="98">
        <f>SUM(G116,G100,G112,G280,G291,G136,G145,G153,G163,G173,G180,G189,G196,G204,G211,G253,G124)</f>
        <v>615.03600000000006</v>
      </c>
      <c r="H304" s="99">
        <f>SUM(H116,H100,H112,H280,H291,H136,H145,H153,H163,H173,H180,H189,H196,H204,H211)</f>
        <v>0</v>
      </c>
    </row>
    <row r="305" spans="1:8" ht="18.75" customHeight="1" x14ac:dyDescent="0.25">
      <c r="A305" s="22"/>
      <c r="B305" s="23" t="s">
        <v>222</v>
      </c>
      <c r="C305" s="305" t="s">
        <v>50</v>
      </c>
      <c r="D305" s="306"/>
      <c r="E305" s="96">
        <f t="shared" ref="E305:E309" si="21">SUM(H305,F305)</f>
        <v>4356.2000000000007</v>
      </c>
      <c r="F305" s="97">
        <f>SUM(F259,F134,F143,F151,F160,F170,F179,F188,F195,F203,F210,F240,F217,F225,F106)</f>
        <v>4356.2000000000007</v>
      </c>
      <c r="G305" s="98">
        <f>SUM(G259,G134,G143,G151,G160,G170,G179,G188,G195,G203,G210,G240,G217,G225,G106)</f>
        <v>4180.5200000000004</v>
      </c>
      <c r="H305" s="99">
        <f>SUM(H134,H143,H151,H160,H170,H179,H188,H195,H203,H210,H240,H217,H225,H106)</f>
        <v>0</v>
      </c>
    </row>
    <row r="306" spans="1:8" ht="23.25" customHeight="1" x14ac:dyDescent="0.25">
      <c r="A306" s="22"/>
      <c r="B306" s="24" t="s">
        <v>188</v>
      </c>
      <c r="C306" s="305" t="s">
        <v>140</v>
      </c>
      <c r="D306" s="306"/>
      <c r="E306" s="96">
        <f>SUM(H306,F306)</f>
        <v>737.85599999999999</v>
      </c>
      <c r="F306" s="97">
        <f t="shared" ref="F306:G306" si="22">SUM(F161,F102,F129,F104,F275,F122,F114,F135,F144,F152,F171,F260,F227,F219,F126)</f>
        <v>121.19499999999999</v>
      </c>
      <c r="G306" s="98">
        <f t="shared" si="22"/>
        <v>50.980000000000004</v>
      </c>
      <c r="H306" s="99">
        <f>SUM(H161,H102,H129,H104,H275,H122,H114,H135,H144,H152,H171,H260,H227,H219,H126)</f>
        <v>616.66100000000006</v>
      </c>
    </row>
    <row r="307" spans="1:8" ht="23.25" hidden="1" customHeight="1" x14ac:dyDescent="0.25">
      <c r="A307" s="22"/>
      <c r="B307" s="23" t="s">
        <v>184</v>
      </c>
      <c r="C307" s="305" t="s">
        <v>108</v>
      </c>
      <c r="D307" s="306"/>
      <c r="E307" s="96">
        <f t="shared" si="21"/>
        <v>0</v>
      </c>
      <c r="F307" s="97">
        <f>SUM(F127,F130)</f>
        <v>0</v>
      </c>
      <c r="G307" s="98">
        <f>SUM(G130)</f>
        <v>0</v>
      </c>
      <c r="H307" s="99">
        <f>SUM(H127,H130)</f>
        <v>0</v>
      </c>
    </row>
    <row r="308" spans="1:8" ht="19.5" customHeight="1" x14ac:dyDescent="0.25">
      <c r="A308" s="22"/>
      <c r="B308" s="23" t="s">
        <v>198</v>
      </c>
      <c r="C308" s="305" t="s">
        <v>51</v>
      </c>
      <c r="D308" s="306"/>
      <c r="E308" s="96">
        <f t="shared" si="21"/>
        <v>104.24799999999999</v>
      </c>
      <c r="F308" s="97">
        <f>SUM(F117,F120,F165,F183,F198,F294,F292,F283,F230,F181,F241,F138)</f>
        <v>67.070999999999998</v>
      </c>
      <c r="G308" s="98">
        <f>SUM(G117,G120,G165,G183,G198,G294)</f>
        <v>0</v>
      </c>
      <c r="H308" s="99">
        <f>SUM(H117,H120,H165,H183,H198,H294)</f>
        <v>37.177</v>
      </c>
    </row>
    <row r="309" spans="1:8" ht="19.5" customHeight="1" thickBot="1" x14ac:dyDescent="0.3">
      <c r="A309" s="90"/>
      <c r="B309" s="91" t="s">
        <v>189</v>
      </c>
      <c r="C309" s="315" t="s">
        <v>190</v>
      </c>
      <c r="D309" s="316"/>
      <c r="E309" s="100">
        <f t="shared" si="21"/>
        <v>723.87400000000002</v>
      </c>
      <c r="F309" s="101">
        <f>SUM(F162,F105,F172,F218,F226,F286,F274,F125,F121,F113,F281,F130,F101,F118,F233,F235,F108)</f>
        <v>246.67200000000003</v>
      </c>
      <c r="G309" s="102">
        <f>SUM(G162,G105,G172,G218,G226,G286,G274,G125,G121,G113,G281,G130,G101,G118,G233,G235,G108)</f>
        <v>106.625</v>
      </c>
      <c r="H309" s="103">
        <f t="shared" ref="H309" si="23">SUM(H162,H105,H172,H218,H226,H286,H274,H125,H121,H113,H281,H130,H101,H118,H233,H235,H108)</f>
        <v>477.202</v>
      </c>
    </row>
    <row r="310" spans="1:8" ht="15" customHeight="1" x14ac:dyDescent="0.25">
      <c r="A310" s="21"/>
      <c r="B310" s="93" t="s">
        <v>2</v>
      </c>
      <c r="C310" s="94"/>
      <c r="D310" s="95"/>
      <c r="E310" s="112"/>
      <c r="F310" s="113"/>
      <c r="G310" s="114"/>
      <c r="H310" s="115"/>
    </row>
    <row r="311" spans="1:8" ht="20.25" customHeight="1" x14ac:dyDescent="0.25">
      <c r="A311" s="48"/>
      <c r="B311" s="79" t="s">
        <v>35</v>
      </c>
      <c r="C311" s="301">
        <v>1</v>
      </c>
      <c r="D311" s="302"/>
      <c r="E311" s="96">
        <f>SUM(H311,F311)</f>
        <v>2717.5850000000005</v>
      </c>
      <c r="F311" s="97">
        <f>SUM(F298,F245,F158,F96,F99:F102,F238)</f>
        <v>2604.7850000000003</v>
      </c>
      <c r="G311" s="98">
        <f>SUM(G298,G245,G158,G96,G99:G102,G238)</f>
        <v>1778.6559999999999</v>
      </c>
      <c r="H311" s="99">
        <f>SUM(H298,H245,H158,H96,H99:H102,H238)-H300</f>
        <v>112.80000000000001</v>
      </c>
    </row>
    <row r="312" spans="1:8" ht="21" customHeight="1" x14ac:dyDescent="0.25">
      <c r="A312" s="22"/>
      <c r="B312" s="80" t="s">
        <v>42</v>
      </c>
      <c r="C312" s="301">
        <v>2</v>
      </c>
      <c r="D312" s="302"/>
      <c r="E312" s="96">
        <f>SUM(H312,F312)</f>
        <v>9911.3149999999987</v>
      </c>
      <c r="F312" s="97">
        <f>SUM(F246,F239:F240,F224:F227,F216:F219,F209:F210,F202:F203,F194:F195,F187:F188,F178:F179,F169:F172,F159:F162,F150:F152,F142:F144,F133:F135,F103:F106,F289,F278,F257)</f>
        <v>9872.9549999999981</v>
      </c>
      <c r="G312" s="98">
        <f t="shared" ref="G312:H312" si="24">SUM(G246,G239:G240,G224:G227,G216:G219,G209:G210,G202:G203,G194:G195,G187:G188,G178:G179,G169:G172,G159:G162,G150:G152,G142:G144,G133:G135,G103:G106,G289,G278,G257)</f>
        <v>8251.6730000000007</v>
      </c>
      <c r="H312" s="99">
        <f t="shared" si="24"/>
        <v>38.360000000000007</v>
      </c>
    </row>
    <row r="313" spans="1:8" ht="18.75" customHeight="1" x14ac:dyDescent="0.25">
      <c r="A313" s="22"/>
      <c r="B313" s="80" t="s">
        <v>135</v>
      </c>
      <c r="C313" s="301">
        <v>3</v>
      </c>
      <c r="D313" s="302"/>
      <c r="E313" s="96">
        <f>SUM(H313,F313)</f>
        <v>1023.239</v>
      </c>
      <c r="F313" s="97">
        <f>SUM(F107,F247,F258,F259,F260,F108)</f>
        <v>959.78899999999999</v>
      </c>
      <c r="G313" s="98">
        <f t="shared" ref="G313:H313" si="25">SUM(G107,G247,G258,G259,G260,G108)</f>
        <v>709.49700000000007</v>
      </c>
      <c r="H313" s="99">
        <f t="shared" si="25"/>
        <v>63.45</v>
      </c>
    </row>
    <row r="314" spans="1:8" ht="26.4" x14ac:dyDescent="0.25">
      <c r="A314" s="22"/>
      <c r="B314" s="81" t="s">
        <v>44</v>
      </c>
      <c r="C314" s="301">
        <v>4</v>
      </c>
      <c r="D314" s="302"/>
      <c r="E314" s="96">
        <f t="shared" ref="E314:E318" si="26">SUM(H314,F314)</f>
        <v>1113.4079999999999</v>
      </c>
      <c r="F314" s="97">
        <f>SUM(F248,F271,F267,F109)</f>
        <v>1113.4079999999999</v>
      </c>
      <c r="G314" s="98">
        <f>SUM(G248,G271,G267,G109)</f>
        <v>854.15499999999997</v>
      </c>
      <c r="H314" s="99">
        <f>SUM(H248,H271,H267,H109)</f>
        <v>0</v>
      </c>
    </row>
    <row r="315" spans="1:8" ht="24" customHeight="1" x14ac:dyDescent="0.25">
      <c r="A315" s="22"/>
      <c r="B315" s="80" t="s">
        <v>129</v>
      </c>
      <c r="C315" s="301">
        <v>5</v>
      </c>
      <c r="D315" s="302"/>
      <c r="E315" s="96">
        <f t="shared" si="26"/>
        <v>228.15</v>
      </c>
      <c r="F315" s="97">
        <f>SUM(F110,F249,F261,F228)</f>
        <v>148.15</v>
      </c>
      <c r="G315" s="98">
        <f>SUM(G110,G249)</f>
        <v>0</v>
      </c>
      <c r="H315" s="99">
        <f>SUM(H110,H249)</f>
        <v>80</v>
      </c>
    </row>
    <row r="316" spans="1:8" ht="22.5" customHeight="1" x14ac:dyDescent="0.25">
      <c r="A316" s="22"/>
      <c r="B316" s="80" t="s">
        <v>45</v>
      </c>
      <c r="C316" s="301">
        <v>6</v>
      </c>
      <c r="D316" s="302"/>
      <c r="E316" s="96">
        <f t="shared" si="26"/>
        <v>4068.8160000000003</v>
      </c>
      <c r="F316" s="97">
        <f>SUM(F291,F290,F279:F280,F250,F111:F114,F136,F145,F153,F163,F173,F180,F189,F196,F204,F211,F281,F229,F262)</f>
        <v>3182.2830000000004</v>
      </c>
      <c r="G316" s="98">
        <f t="shared" ref="G316:H316" si="27">SUM(G291,G290,G279:G280,G250,G111:G114,G136,G145,G153,G163,G173,G180,G189,G196,G204,G211,G281,G229,G262)</f>
        <v>1059.479</v>
      </c>
      <c r="H316" s="99">
        <f t="shared" si="27"/>
        <v>886.5329999999999</v>
      </c>
    </row>
    <row r="317" spans="1:8" ht="24" customHeight="1" x14ac:dyDescent="0.25">
      <c r="A317" s="22"/>
      <c r="B317" s="80" t="s">
        <v>46</v>
      </c>
      <c r="C317" s="301">
        <v>7</v>
      </c>
      <c r="D317" s="302"/>
      <c r="E317" s="96">
        <f t="shared" si="26"/>
        <v>246.82</v>
      </c>
      <c r="F317" s="97">
        <f>SUM(F115:F118,F282,F292,F283,F230,F181,F241)</f>
        <v>186.82</v>
      </c>
      <c r="G317" s="98">
        <f>SUM(G115:G117,G282)</f>
        <v>3.7800000000000002</v>
      </c>
      <c r="H317" s="99">
        <f>SUM(H115:H117,H282)</f>
        <v>60</v>
      </c>
    </row>
    <row r="318" spans="1:8" ht="23.25" customHeight="1" x14ac:dyDescent="0.25">
      <c r="A318" s="22"/>
      <c r="B318" s="80" t="s">
        <v>47</v>
      </c>
      <c r="C318" s="301">
        <v>8</v>
      </c>
      <c r="D318" s="302"/>
      <c r="E318" s="96">
        <f t="shared" si="26"/>
        <v>2807.9460000000004</v>
      </c>
      <c r="F318" s="97">
        <f>SUM(F119:F122,F284,F137:F138,F146,F154,F164,F165,F174,F183,F182,F190,F197,F198,F205,F212,F220,F231,F251,F263,F272,F293,F294)</f>
        <v>2512.3790000000004</v>
      </c>
      <c r="G318" s="98">
        <f>SUM(G119:G122,G284,G137,G146,G154,G164,G165,G174,G183,G182,G190,G197,G198,G205,G212,G220,G231,G251,G263,G272,G293,G294)</f>
        <v>854.13</v>
      </c>
      <c r="H318" s="99">
        <f>SUM(H119:H122,H284,H137,H146,H154,H164,H165,H174,H183,H182,H190,H197,H198,H205,H212,H220,H231,H251,H263,H272,H293,H294)</f>
        <v>295.56700000000001</v>
      </c>
    </row>
    <row r="319" spans="1:8" ht="19.5" customHeight="1" x14ac:dyDescent="0.25">
      <c r="A319" s="22"/>
      <c r="B319" s="80" t="s">
        <v>48</v>
      </c>
      <c r="C319" s="301">
        <v>9</v>
      </c>
      <c r="D319" s="302"/>
      <c r="E319" s="96">
        <f>SUM(H319,F319)</f>
        <v>1703.7570000000001</v>
      </c>
      <c r="F319" s="97">
        <f>SUM(F123:F127,F252,F232,F253,F233)</f>
        <v>437.87700000000001</v>
      </c>
      <c r="G319" s="98">
        <f>SUM(G123:G127,G252,G232,G253,G233)</f>
        <v>181.73999999999998</v>
      </c>
      <c r="H319" s="99">
        <f>SUM(H123:H127,H252,H232,H253)</f>
        <v>1265.8800000000001</v>
      </c>
    </row>
    <row r="320" spans="1:8" ht="24.75" customHeight="1" thickBot="1" x14ac:dyDescent="0.3">
      <c r="A320" s="26"/>
      <c r="B320" s="82" t="s">
        <v>49</v>
      </c>
      <c r="C320" s="307">
        <v>10</v>
      </c>
      <c r="D320" s="308"/>
      <c r="E320" s="116">
        <f>SUM(H320,F320)</f>
        <v>3841.8640000000005</v>
      </c>
      <c r="F320" s="117">
        <f>SUM(F264,F206,F191,F273,F254,F128:F130,F139,F147,F175,F184,F166,F155,F275,F285,F286,F274,F295,F213,F234,F221,F199,F235)</f>
        <v>1668.0610000000001</v>
      </c>
      <c r="G320" s="118">
        <f>SUM(G264,G206,G191,G273,G254,G128:G130,G139,G147,G175,G184,G166,G155,G275,G285,G286,G274,G295,G213,G234,G221,G199,G235)</f>
        <v>51.28</v>
      </c>
      <c r="H320" s="119">
        <f>SUM(H264,H206,H191,H273,H254,H128:H130,H139,H147,H175,H184,H166,H155,H275,H285,H286,H274,H295,H213,H234,H221,H199,H235)</f>
        <v>2173.8030000000003</v>
      </c>
    </row>
    <row r="321" spans="1:8" ht="14.25" customHeight="1" x14ac:dyDescent="0.25">
      <c r="A321" s="25"/>
      <c r="B321" s="92" t="s">
        <v>2</v>
      </c>
      <c r="C321" s="303"/>
      <c r="D321" s="304"/>
      <c r="E321" s="108"/>
      <c r="F321" s="109"/>
      <c r="G321" s="110"/>
      <c r="H321" s="111"/>
    </row>
    <row r="322" spans="1:8" ht="24.75" customHeight="1" x14ac:dyDescent="0.25">
      <c r="A322" s="15"/>
      <c r="B322" s="32" t="s">
        <v>142</v>
      </c>
      <c r="C322" s="36"/>
      <c r="D322" s="85"/>
      <c r="E322" s="96">
        <f>F322+H322</f>
        <v>3704.71</v>
      </c>
      <c r="F322" s="97">
        <f>83.86+28.071+159.886+555.224+94.439+274.84</f>
        <v>1196.32</v>
      </c>
      <c r="G322" s="98">
        <f>43.617+51.767</f>
        <v>95.384</v>
      </c>
      <c r="H322" s="99">
        <f>17.18+37.177+66.044+1756.266+20.331+611.392</f>
        <v>2508.3900000000003</v>
      </c>
    </row>
    <row r="323" spans="1:8" ht="24.75" customHeight="1" x14ac:dyDescent="0.25">
      <c r="A323" s="15"/>
      <c r="B323" s="136" t="s">
        <v>218</v>
      </c>
      <c r="C323" s="137"/>
      <c r="D323" s="138"/>
      <c r="E323" s="139">
        <f>F323+H323</f>
        <v>244.79599999999999</v>
      </c>
      <c r="F323" s="140"/>
      <c r="G323" s="141"/>
      <c r="H323" s="142">
        <f>4.732+240.064</f>
        <v>244.79599999999999</v>
      </c>
    </row>
    <row r="324" spans="1:8" ht="24.75" customHeight="1" thickBot="1" x14ac:dyDescent="0.3">
      <c r="A324" s="26"/>
      <c r="B324" s="143" t="s">
        <v>217</v>
      </c>
      <c r="C324" s="144"/>
      <c r="D324" s="145"/>
      <c r="E324" s="146">
        <f>F324+H324</f>
        <v>6.0010000000000003</v>
      </c>
      <c r="F324" s="147"/>
      <c r="G324" s="148"/>
      <c r="H324" s="149">
        <v>6.0010000000000003</v>
      </c>
    </row>
    <row r="325" spans="1:8" x14ac:dyDescent="0.25">
      <c r="C325" s="27"/>
      <c r="D325" s="27"/>
      <c r="E325" s="28"/>
    </row>
  </sheetData>
  <mergeCells count="230">
    <mergeCell ref="A282:A283"/>
    <mergeCell ref="B232:B233"/>
    <mergeCell ref="B234:B235"/>
    <mergeCell ref="A234:A235"/>
    <mergeCell ref="B279:B281"/>
    <mergeCell ref="B239:B240"/>
    <mergeCell ref="A194:A195"/>
    <mergeCell ref="B194:B195"/>
    <mergeCell ref="B216:B219"/>
    <mergeCell ref="A216:A219"/>
    <mergeCell ref="A224:A227"/>
    <mergeCell ref="B224:B227"/>
    <mergeCell ref="A232:A233"/>
    <mergeCell ref="A133:A135"/>
    <mergeCell ref="B133:B135"/>
    <mergeCell ref="A137:A138"/>
    <mergeCell ref="B137:B138"/>
    <mergeCell ref="B164:B165"/>
    <mergeCell ref="A150:A152"/>
    <mergeCell ref="B150:B152"/>
    <mergeCell ref="A142:A144"/>
    <mergeCell ref="B142:B144"/>
    <mergeCell ref="A169:A172"/>
    <mergeCell ref="B169:B172"/>
    <mergeCell ref="A159:A162"/>
    <mergeCell ref="B159:B162"/>
    <mergeCell ref="B258:B260"/>
    <mergeCell ref="A258:A260"/>
    <mergeCell ref="A178:A179"/>
    <mergeCell ref="B178:B179"/>
    <mergeCell ref="B182:B183"/>
    <mergeCell ref="A182:A183"/>
    <mergeCell ref="A187:A188"/>
    <mergeCell ref="B187:B188"/>
    <mergeCell ref="B209:B210"/>
    <mergeCell ref="A209:A210"/>
    <mergeCell ref="B197:B198"/>
    <mergeCell ref="A202:A203"/>
    <mergeCell ref="B202:B203"/>
    <mergeCell ref="A239:A240"/>
    <mergeCell ref="B128:B130"/>
    <mergeCell ref="A99:A102"/>
    <mergeCell ref="B99:B102"/>
    <mergeCell ref="A103:A106"/>
    <mergeCell ref="B103:B106"/>
    <mergeCell ref="A119:A122"/>
    <mergeCell ref="B119:B122"/>
    <mergeCell ref="A123:A127"/>
    <mergeCell ref="B123:B127"/>
    <mergeCell ref="A111:A114"/>
    <mergeCell ref="B111:B114"/>
    <mergeCell ref="B115:B118"/>
    <mergeCell ref="A115:A118"/>
    <mergeCell ref="B107:B108"/>
    <mergeCell ref="A107:A108"/>
    <mergeCell ref="C320:D320"/>
    <mergeCell ref="C321:D321"/>
    <mergeCell ref="B252:B253"/>
    <mergeCell ref="A252:A253"/>
    <mergeCell ref="A273:A275"/>
    <mergeCell ref="B273:B275"/>
    <mergeCell ref="A285:A286"/>
    <mergeCell ref="B285:B286"/>
    <mergeCell ref="C314:D314"/>
    <mergeCell ref="C315:D315"/>
    <mergeCell ref="C316:D316"/>
    <mergeCell ref="C317:D317"/>
    <mergeCell ref="C318:D318"/>
    <mergeCell ref="C308:D308"/>
    <mergeCell ref="C309:D309"/>
    <mergeCell ref="C311:D311"/>
    <mergeCell ref="A279:A281"/>
    <mergeCell ref="A293:A294"/>
    <mergeCell ref="B293:B294"/>
    <mergeCell ref="A267:A268"/>
    <mergeCell ref="A290:A291"/>
    <mergeCell ref="B290:B291"/>
    <mergeCell ref="B267:B268"/>
    <mergeCell ref="B282:B283"/>
    <mergeCell ref="B19:F19"/>
    <mergeCell ref="G19:H19"/>
    <mergeCell ref="G20:H20"/>
    <mergeCell ref="A5:H5"/>
    <mergeCell ref="C319:D319"/>
    <mergeCell ref="C312:D312"/>
    <mergeCell ref="C313:D313"/>
    <mergeCell ref="C303:D303"/>
    <mergeCell ref="C304:D304"/>
    <mergeCell ref="C305:D305"/>
    <mergeCell ref="C306:D306"/>
    <mergeCell ref="C307:D307"/>
    <mergeCell ref="A86:H86"/>
    <mergeCell ref="A89:A92"/>
    <mergeCell ref="B89:B92"/>
    <mergeCell ref="C89:C92"/>
    <mergeCell ref="D89:D92"/>
    <mergeCell ref="E89:E92"/>
    <mergeCell ref="F89:H89"/>
    <mergeCell ref="F90:G90"/>
    <mergeCell ref="H90:H92"/>
    <mergeCell ref="F91:F92"/>
    <mergeCell ref="G91:G92"/>
    <mergeCell ref="A128:A130"/>
    <mergeCell ref="G7:H7"/>
    <mergeCell ref="G8:H8"/>
    <mergeCell ref="G9:H9"/>
    <mergeCell ref="G10:H10"/>
    <mergeCell ref="G11:H11"/>
    <mergeCell ref="B7:F7"/>
    <mergeCell ref="B8:F8"/>
    <mergeCell ref="B9:F9"/>
    <mergeCell ref="B10:F10"/>
    <mergeCell ref="B11:F11"/>
    <mergeCell ref="G12:H12"/>
    <mergeCell ref="G13:H13"/>
    <mergeCell ref="G14:H14"/>
    <mergeCell ref="G15:H15"/>
    <mergeCell ref="G16:H16"/>
    <mergeCell ref="B82:F82"/>
    <mergeCell ref="B83:F83"/>
    <mergeCell ref="G77:H77"/>
    <mergeCell ref="G78:H78"/>
    <mergeCell ref="G79:H79"/>
    <mergeCell ref="G80:H80"/>
    <mergeCell ref="G81:H81"/>
    <mergeCell ref="G82:H82"/>
    <mergeCell ref="G83:H83"/>
    <mergeCell ref="B77:F77"/>
    <mergeCell ref="B78:F78"/>
    <mergeCell ref="B79:F79"/>
    <mergeCell ref="B80:F80"/>
    <mergeCell ref="B81:F81"/>
    <mergeCell ref="B12:F12"/>
    <mergeCell ref="B13:F13"/>
    <mergeCell ref="B14:F14"/>
    <mergeCell ref="B15:F15"/>
    <mergeCell ref="B16:F16"/>
    <mergeCell ref="G26:H26"/>
    <mergeCell ref="G28:H28"/>
    <mergeCell ref="G29:H29"/>
    <mergeCell ref="G30:H30"/>
    <mergeCell ref="G31:H31"/>
    <mergeCell ref="G21:H21"/>
    <mergeCell ref="G22:H22"/>
    <mergeCell ref="G23:H23"/>
    <mergeCell ref="G24:H24"/>
    <mergeCell ref="G25:H25"/>
    <mergeCell ref="B30:F30"/>
    <mergeCell ref="B31:F31"/>
    <mergeCell ref="B32:F32"/>
    <mergeCell ref="B33:F33"/>
    <mergeCell ref="B34:F34"/>
    <mergeCell ref="B35:F35"/>
    <mergeCell ref="G32:H32"/>
    <mergeCell ref="G33:H33"/>
    <mergeCell ref="G34:H34"/>
    <mergeCell ref="G35:H35"/>
    <mergeCell ref="B20:F20"/>
    <mergeCell ref="B21:F21"/>
    <mergeCell ref="B22:F22"/>
    <mergeCell ref="B23:F23"/>
    <mergeCell ref="B24:F24"/>
    <mergeCell ref="B25:F25"/>
    <mergeCell ref="B26:F26"/>
    <mergeCell ref="B28:F28"/>
    <mergeCell ref="B29:F29"/>
    <mergeCell ref="B41:F41"/>
    <mergeCell ref="G38:H38"/>
    <mergeCell ref="G39:H39"/>
    <mergeCell ref="G40:H40"/>
    <mergeCell ref="G41:H41"/>
    <mergeCell ref="B36:F36"/>
    <mergeCell ref="B37:F37"/>
    <mergeCell ref="B38:F38"/>
    <mergeCell ref="B39:F39"/>
    <mergeCell ref="B40:F40"/>
    <mergeCell ref="G37:H37"/>
    <mergeCell ref="G36:H36"/>
    <mergeCell ref="G48:H48"/>
    <mergeCell ref="B43:F43"/>
    <mergeCell ref="B44:F44"/>
    <mergeCell ref="B46:F46"/>
    <mergeCell ref="B48:F48"/>
    <mergeCell ref="B42:F42"/>
    <mergeCell ref="G42:H42"/>
    <mergeCell ref="G43:H43"/>
    <mergeCell ref="G44:H44"/>
    <mergeCell ref="G46:H46"/>
    <mergeCell ref="G51:H51"/>
    <mergeCell ref="G52:H52"/>
    <mergeCell ref="G55:H55"/>
    <mergeCell ref="B55:F55"/>
    <mergeCell ref="B49:F49"/>
    <mergeCell ref="B50:F50"/>
    <mergeCell ref="G50:H50"/>
    <mergeCell ref="G49:H49"/>
    <mergeCell ref="B51:F51"/>
    <mergeCell ref="B66:F66"/>
    <mergeCell ref="B67:F67"/>
    <mergeCell ref="B68:F68"/>
    <mergeCell ref="B57:F57"/>
    <mergeCell ref="B58:F58"/>
    <mergeCell ref="B59:F59"/>
    <mergeCell ref="B60:F60"/>
    <mergeCell ref="B62:F62"/>
    <mergeCell ref="B52:F52"/>
    <mergeCell ref="B73:F73"/>
    <mergeCell ref="B74:F74"/>
    <mergeCell ref="G70:H70"/>
    <mergeCell ref="G71:H71"/>
    <mergeCell ref="G72:H72"/>
    <mergeCell ref="G73:H73"/>
    <mergeCell ref="G74:H74"/>
    <mergeCell ref="G58:H58"/>
    <mergeCell ref="G57:H57"/>
    <mergeCell ref="B70:F70"/>
    <mergeCell ref="B71:F71"/>
    <mergeCell ref="B72:F72"/>
    <mergeCell ref="G64:H64"/>
    <mergeCell ref="G63:H63"/>
    <mergeCell ref="G62:H62"/>
    <mergeCell ref="G60:H60"/>
    <mergeCell ref="G59:H59"/>
    <mergeCell ref="B69:F69"/>
    <mergeCell ref="G69:H69"/>
    <mergeCell ref="G68:H68"/>
    <mergeCell ref="G67:H67"/>
    <mergeCell ref="G66:H66"/>
    <mergeCell ref="B63:F63"/>
    <mergeCell ref="B64:F64"/>
  </mergeCells>
  <conditionalFormatting sqref="E94:H324">
    <cfRule type="cellIs" dxfId="0" priority="1" stopIfTrue="1" operator="equal">
      <formula>0</formula>
    </cfRule>
  </conditionalFormatting>
  <printOptions horizontalCentered="1"/>
  <pageMargins left="0.55118110236220474" right="0" top="0.59055118110236227" bottom="0.39370078740157483" header="0.51181102362204722" footer="0.51181102362204722"/>
  <pageSetup paperSize="9" scale="85" orientation="portrait" r:id="rId1"/>
  <headerFooter alignWithMargins="0">
    <oddHeader>&amp;C&amp;P</oddHeader>
  </headerFooter>
  <ignoredErrors>
    <ignoredError sqref="E299:H299 F301:H301 E302:H302 E301" unlockedFormula="1"/>
    <ignoredError sqref="F303:H3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2019 m. biudzetas</vt:lpstr>
      <vt:lpstr>'2019 m. biudzetas'!Print_Titles</vt:lpstr>
    </vt:vector>
  </TitlesOfParts>
  <Company>Visagino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2019-02-01T14:52:25Z</cp:lastPrinted>
  <dcterms:created xsi:type="dcterms:W3CDTF">2004-01-21T14:05:06Z</dcterms:created>
  <dcterms:modified xsi:type="dcterms:W3CDTF">2019-02-04T14:01:09Z</dcterms:modified>
</cp:coreProperties>
</file>