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Profiles\User\Documents\LIUDMILA\TARYBOS SPRENDIMAI\2020\Lyginamosios lenteles tarybai\2020 pristatymas internete\Nuo NADEZDOS\"/>
    </mc:Choice>
  </mc:AlternateContent>
  <bookViews>
    <workbookView xWindow="0" yWindow="0" windowWidth="28800" windowHeight="11145"/>
  </bookViews>
  <sheets>
    <sheet name="SB_IP_paskola" sheetId="23" r:id="rId1"/>
    <sheet name="VDF" sheetId="24" r:id="rId2"/>
    <sheet name="MK" sheetId="25" r:id="rId3"/>
    <sheet name="SP" sheetId="26" r:id="rId4"/>
    <sheet name="SD" sheetId="27" r:id="rId5"/>
    <sheet name="ES" sheetId="28" r:id="rId6"/>
  </sheets>
  <definedNames>
    <definedName name="_xlnm.Print_Titles" localSheetId="0">SB_IP_paskola!$10:$14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66" i="23" l="1"/>
  <c r="G166" i="23"/>
  <c r="F159" i="23"/>
  <c r="G159" i="23"/>
  <c r="K59" i="28" l="1"/>
  <c r="J59" i="28"/>
  <c r="I59" i="28"/>
  <c r="K58" i="28"/>
  <c r="J58" i="28"/>
  <c r="I58" i="28"/>
  <c r="K57" i="28"/>
  <c r="J57" i="28"/>
  <c r="I57" i="28"/>
  <c r="I56" i="28"/>
  <c r="K55" i="28"/>
  <c r="J55" i="28"/>
  <c r="I55" i="28"/>
  <c r="J54" i="28"/>
  <c r="I54" i="28"/>
  <c r="K53" i="28"/>
  <c r="J53" i="28"/>
  <c r="I53" i="28"/>
  <c r="E53" i="28"/>
  <c r="K52" i="28"/>
  <c r="J52" i="28"/>
  <c r="I52" i="28"/>
  <c r="G52" i="28"/>
  <c r="F52" i="28"/>
  <c r="H49" i="28"/>
  <c r="G49" i="28"/>
  <c r="G47" i="28" s="1"/>
  <c r="F49" i="28"/>
  <c r="E49" i="28"/>
  <c r="D49" i="28" s="1"/>
  <c r="H48" i="28"/>
  <c r="D48" i="28"/>
  <c r="K47" i="28"/>
  <c r="J47" i="28"/>
  <c r="I47" i="28"/>
  <c r="H47" i="28" s="1"/>
  <c r="F47" i="28"/>
  <c r="H46" i="28"/>
  <c r="G46" i="28"/>
  <c r="G44" i="28" s="1"/>
  <c r="F46" i="28"/>
  <c r="F44" i="28" s="1"/>
  <c r="E46" i="28"/>
  <c r="D46" i="28"/>
  <c r="H45" i="28"/>
  <c r="D45" i="28"/>
  <c r="K44" i="28"/>
  <c r="J44" i="28"/>
  <c r="I44" i="28"/>
  <c r="H44" i="28" s="1"/>
  <c r="E44" i="28"/>
  <c r="H43" i="28"/>
  <c r="F43" i="28"/>
  <c r="F59" i="28" s="1"/>
  <c r="D43" i="28"/>
  <c r="H42" i="28"/>
  <c r="D42" i="28"/>
  <c r="J41" i="28"/>
  <c r="I41" i="28"/>
  <c r="H41" i="28" s="1"/>
  <c r="G41" i="28"/>
  <c r="F41" i="28"/>
  <c r="E41" i="28"/>
  <c r="D41" i="28" s="1"/>
  <c r="H40" i="28"/>
  <c r="D40" i="28"/>
  <c r="H39" i="28"/>
  <c r="D39" i="28"/>
  <c r="H38" i="28"/>
  <c r="D38" i="28"/>
  <c r="H37" i="28"/>
  <c r="D37" i="28"/>
  <c r="J36" i="28"/>
  <c r="I36" i="28"/>
  <c r="H36" i="28" s="1"/>
  <c r="G36" i="28"/>
  <c r="F36" i="28"/>
  <c r="E36" i="28"/>
  <c r="H35" i="28"/>
  <c r="D35" i="28"/>
  <c r="H34" i="28"/>
  <c r="D34" i="28"/>
  <c r="J33" i="28"/>
  <c r="I33" i="28"/>
  <c r="H33" i="28" s="1"/>
  <c r="G33" i="28"/>
  <c r="F33" i="28"/>
  <c r="E33" i="28"/>
  <c r="D33" i="28" s="1"/>
  <c r="H32" i="28"/>
  <c r="G32" i="28"/>
  <c r="F32" i="28"/>
  <c r="E32" i="28"/>
  <c r="H31" i="28"/>
  <c r="G31" i="28"/>
  <c r="F31" i="28"/>
  <c r="E31" i="28"/>
  <c r="D31" i="28" s="1"/>
  <c r="H30" i="28"/>
  <c r="F30" i="28"/>
  <c r="D30" i="28"/>
  <c r="H29" i="28"/>
  <c r="G29" i="28"/>
  <c r="D29" i="28" s="1"/>
  <c r="F29" i="28"/>
  <c r="E29" i="28"/>
  <c r="H28" i="28"/>
  <c r="G28" i="28"/>
  <c r="F28" i="28"/>
  <c r="E28" i="28"/>
  <c r="H27" i="28"/>
  <c r="G27" i="28"/>
  <c r="D27" i="28" s="1"/>
  <c r="F27" i="28"/>
  <c r="E27" i="28"/>
  <c r="H26" i="28"/>
  <c r="G26" i="28"/>
  <c r="F26" i="28"/>
  <c r="E26" i="28"/>
  <c r="D26" i="28" s="1"/>
  <c r="H25" i="28"/>
  <c r="H58" i="28" s="1"/>
  <c r="G25" i="28"/>
  <c r="F25" i="28"/>
  <c r="F58" i="28" s="1"/>
  <c r="E25" i="28"/>
  <c r="E58" i="28" s="1"/>
  <c r="D25" i="28"/>
  <c r="H24" i="28"/>
  <c r="H57" i="28" s="1"/>
  <c r="G24" i="28"/>
  <c r="G57" i="28" s="1"/>
  <c r="F24" i="28"/>
  <c r="F57" i="28" s="1"/>
  <c r="E24" i="28"/>
  <c r="D24" i="28" s="1"/>
  <c r="D57" i="28" s="1"/>
  <c r="D23" i="28"/>
  <c r="H22" i="28"/>
  <c r="H56" i="28" s="1"/>
  <c r="G22" i="28"/>
  <c r="F22" i="28"/>
  <c r="E22" i="28"/>
  <c r="E56" i="28" s="1"/>
  <c r="H21" i="28"/>
  <c r="G21" i="28"/>
  <c r="D21" i="28" s="1"/>
  <c r="F21" i="28"/>
  <c r="E21" i="28"/>
  <c r="H20" i="28"/>
  <c r="G20" i="28"/>
  <c r="F20" i="28"/>
  <c r="E20" i="28"/>
  <c r="H19" i="28"/>
  <c r="H55" i="28" s="1"/>
  <c r="G19" i="28"/>
  <c r="G55" i="28" s="1"/>
  <c r="F19" i="28"/>
  <c r="E19" i="28"/>
  <c r="H18" i="28"/>
  <c r="H54" i="28" s="1"/>
  <c r="G18" i="28"/>
  <c r="F18" i="28"/>
  <c r="F54" i="28" s="1"/>
  <c r="E18" i="28"/>
  <c r="E54" i="28" s="1"/>
  <c r="H17" i="28"/>
  <c r="H53" i="28" s="1"/>
  <c r="G17" i="28"/>
  <c r="G53" i="28" s="1"/>
  <c r="F17" i="28"/>
  <c r="F53" i="28" s="1"/>
  <c r="D17" i="28"/>
  <c r="H16" i="28"/>
  <c r="H52" i="28" s="1"/>
  <c r="F16" i="28"/>
  <c r="E16" i="28"/>
  <c r="E52" i="28" s="1"/>
  <c r="K14" i="28"/>
  <c r="K50" i="28" s="1"/>
  <c r="J14" i="28"/>
  <c r="I14" i="28"/>
  <c r="D44" i="28" l="1"/>
  <c r="D58" i="28"/>
  <c r="D19" i="28"/>
  <c r="G59" i="28"/>
  <c r="J50" i="28"/>
  <c r="E47" i="28"/>
  <c r="D47" i="28" s="1"/>
  <c r="D53" i="28"/>
  <c r="G14" i="28"/>
  <c r="G50" i="28" s="1"/>
  <c r="E55" i="28"/>
  <c r="D20" i="28"/>
  <c r="D28" i="28"/>
  <c r="H59" i="28"/>
  <c r="D36" i="28"/>
  <c r="I50" i="28"/>
  <c r="F14" i="28"/>
  <c r="F50" i="28" s="1"/>
  <c r="G58" i="28"/>
  <c r="E59" i="28"/>
  <c r="D55" i="28"/>
  <c r="H14" i="28"/>
  <c r="H50" i="28" s="1"/>
  <c r="D16" i="28"/>
  <c r="D52" i="28" s="1"/>
  <c r="D18" i="28"/>
  <c r="D54" i="28" s="1"/>
  <c r="D22" i="28"/>
  <c r="D56" i="28" s="1"/>
  <c r="D32" i="28"/>
  <c r="D59" i="28" s="1"/>
  <c r="E57" i="28"/>
  <c r="F55" i="28"/>
  <c r="E14" i="28"/>
  <c r="E50" i="28" l="1"/>
  <c r="D14" i="28"/>
  <c r="D50" i="28" s="1"/>
  <c r="G57" i="27" l="1"/>
  <c r="F57" i="27"/>
  <c r="E57" i="27"/>
  <c r="G56" i="27"/>
  <c r="F56" i="27"/>
  <c r="E56" i="27"/>
  <c r="G55" i="27"/>
  <c r="F55" i="27"/>
  <c r="E55" i="27"/>
  <c r="G54" i="27"/>
  <c r="G53" i="27"/>
  <c r="F53" i="27"/>
  <c r="E53" i="27"/>
  <c r="G52" i="27"/>
  <c r="F52" i="27"/>
  <c r="E52" i="27"/>
  <c r="G51" i="27"/>
  <c r="F51" i="27"/>
  <c r="E51" i="27"/>
  <c r="G50" i="27"/>
  <c r="F50" i="27"/>
  <c r="E50" i="27"/>
  <c r="D47" i="27"/>
  <c r="G46" i="27"/>
  <c r="D46" i="27" s="1"/>
  <c r="F46" i="27"/>
  <c r="E46" i="27"/>
  <c r="D45" i="27"/>
  <c r="D52" i="27" s="1"/>
  <c r="G44" i="27"/>
  <c r="D44" i="27" s="1"/>
  <c r="F44" i="27"/>
  <c r="E44" i="27"/>
  <c r="D43" i="27"/>
  <c r="G42" i="27"/>
  <c r="F42" i="27"/>
  <c r="E42" i="27"/>
  <c r="D42" i="27" s="1"/>
  <c r="D41" i="27"/>
  <c r="G40" i="27"/>
  <c r="F40" i="27"/>
  <c r="E40" i="27"/>
  <c r="D36" i="27"/>
  <c r="D51" i="27" s="1"/>
  <c r="G35" i="27"/>
  <c r="F35" i="27"/>
  <c r="E35" i="27"/>
  <c r="D28" i="27"/>
  <c r="D27" i="27"/>
  <c r="D26" i="27"/>
  <c r="D25" i="27"/>
  <c r="D24" i="27"/>
  <c r="D23" i="27"/>
  <c r="D22" i="27"/>
  <c r="D21" i="27"/>
  <c r="D56" i="27" s="1"/>
  <c r="D20" i="27"/>
  <c r="D55" i="27" s="1"/>
  <c r="D19" i="27"/>
  <c r="D54" i="27" s="1"/>
  <c r="D18" i="27"/>
  <c r="D17" i="27"/>
  <c r="D53" i="27" s="1"/>
  <c r="D16" i="27"/>
  <c r="D50" i="27" s="1"/>
  <c r="G15" i="27"/>
  <c r="F15" i="27"/>
  <c r="F48" i="27" s="1"/>
  <c r="E15" i="27"/>
  <c r="E48" i="27" s="1"/>
  <c r="D15" i="27"/>
  <c r="D57" i="27" l="1"/>
  <c r="G48" i="27"/>
  <c r="D35" i="27"/>
  <c r="D48" i="27" s="1"/>
  <c r="D40" i="27"/>
  <c r="K32" i="26" l="1"/>
  <c r="I32" i="26"/>
  <c r="I31" i="26"/>
  <c r="H31" i="26"/>
  <c r="H28" i="26"/>
  <c r="D28" i="26"/>
  <c r="I26" i="26"/>
  <c r="H26" i="26" s="1"/>
  <c r="E26" i="26"/>
  <c r="D26" i="26" s="1"/>
  <c r="H25" i="26"/>
  <c r="D25" i="26"/>
  <c r="I23" i="26"/>
  <c r="H23" i="26" s="1"/>
  <c r="E23" i="26"/>
  <c r="D23" i="26" s="1"/>
  <c r="H22" i="26"/>
  <c r="D22" i="26"/>
  <c r="I20" i="26"/>
  <c r="E20" i="26"/>
  <c r="D20" i="26"/>
  <c r="H19" i="26"/>
  <c r="D19" i="26"/>
  <c r="I17" i="26"/>
  <c r="H17" i="26"/>
  <c r="E17" i="26"/>
  <c r="D17" i="26" s="1"/>
  <c r="H16" i="26"/>
  <c r="H32" i="26" s="1"/>
  <c r="G16" i="26"/>
  <c r="G32" i="26" s="1"/>
  <c r="E16" i="26"/>
  <c r="E32" i="26" s="1"/>
  <c r="H15" i="26"/>
  <c r="G15" i="26"/>
  <c r="G13" i="26" s="1"/>
  <c r="E15" i="26"/>
  <c r="E31" i="26" s="1"/>
  <c r="K13" i="26"/>
  <c r="K29" i="26" s="1"/>
  <c r="J13" i="26"/>
  <c r="J29" i="26" s="1"/>
  <c r="I13" i="26"/>
  <c r="F13" i="26"/>
  <c r="F29" i="26" s="1"/>
  <c r="E13" i="26"/>
  <c r="F46" i="25"/>
  <c r="E46" i="25"/>
  <c r="D42" i="25"/>
  <c r="D46" i="25" s="1"/>
  <c r="D41" i="25"/>
  <c r="D40" i="25"/>
  <c r="D39" i="25"/>
  <c r="D38" i="25"/>
  <c r="D37" i="25"/>
  <c r="D36" i="25"/>
  <c r="D35" i="25"/>
  <c r="D34" i="25"/>
  <c r="D31" i="25"/>
  <c r="D28" i="25"/>
  <c r="D25" i="25"/>
  <c r="D22" i="25"/>
  <c r="D19" i="25"/>
  <c r="D18" i="25"/>
  <c r="D17" i="25"/>
  <c r="F15" i="25"/>
  <c r="F43" i="25" s="1"/>
  <c r="E15" i="25"/>
  <c r="E45" i="25" s="1"/>
  <c r="D15" i="25"/>
  <c r="E29" i="26" l="1"/>
  <c r="H13" i="26"/>
  <c r="I29" i="26"/>
  <c r="H29" i="26" s="1"/>
  <c r="D45" i="25"/>
  <c r="E43" i="25"/>
  <c r="D43" i="25"/>
  <c r="F45" i="25"/>
  <c r="D13" i="26"/>
  <c r="G29" i="26"/>
  <c r="D29" i="26" s="1"/>
  <c r="D15" i="26"/>
  <c r="D31" i="26" s="1"/>
  <c r="D16" i="26"/>
  <c r="D32" i="26" s="1"/>
  <c r="H20" i="26"/>
  <c r="F101" i="24"/>
  <c r="E101" i="24"/>
  <c r="F100" i="24"/>
  <c r="E100" i="24"/>
  <c r="E99" i="24"/>
  <c r="F98" i="24"/>
  <c r="E98" i="24"/>
  <c r="D95" i="24"/>
  <c r="D93" i="24" s="1"/>
  <c r="F93" i="24"/>
  <c r="E93" i="24"/>
  <c r="D92" i="24"/>
  <c r="D91" i="24"/>
  <c r="F89" i="24"/>
  <c r="E89" i="24"/>
  <c r="D85" i="24"/>
  <c r="D84" i="24"/>
  <c r="F82" i="24"/>
  <c r="E82" i="24"/>
  <c r="D82" i="24"/>
  <c r="D81" i="24"/>
  <c r="D80" i="24"/>
  <c r="D78" i="24" s="1"/>
  <c r="F78" i="24"/>
  <c r="E78" i="24"/>
  <c r="D77" i="24"/>
  <c r="D76" i="24"/>
  <c r="D74" i="24" s="1"/>
  <c r="F74" i="24"/>
  <c r="E74" i="24"/>
  <c r="D73" i="24"/>
  <c r="D72" i="24"/>
  <c r="D70" i="24" s="1"/>
  <c r="F70" i="24"/>
  <c r="E70" i="24"/>
  <c r="D69" i="24"/>
  <c r="D68" i="24"/>
  <c r="D66" i="24" s="1"/>
  <c r="F66" i="24"/>
  <c r="E66" i="24"/>
  <c r="D65" i="24"/>
  <c r="D64" i="24"/>
  <c r="D62" i="24" s="1"/>
  <c r="F62" i="24"/>
  <c r="E62" i="24"/>
  <c r="D61" i="24"/>
  <c r="D60" i="24"/>
  <c r="F58" i="24"/>
  <c r="E58" i="24"/>
  <c r="D58" i="24"/>
  <c r="D57" i="24"/>
  <c r="D56" i="24"/>
  <c r="D54" i="24" s="1"/>
  <c r="F54" i="24"/>
  <c r="E54" i="24"/>
  <c r="D53" i="24"/>
  <c r="D52" i="24"/>
  <c r="D50" i="24" s="1"/>
  <c r="F50" i="24"/>
  <c r="E50" i="24"/>
  <c r="D49" i="24"/>
  <c r="D48" i="24"/>
  <c r="D46" i="24" s="1"/>
  <c r="F46" i="24"/>
  <c r="F99" i="24" s="1"/>
  <c r="E46" i="24"/>
  <c r="D45" i="24"/>
  <c r="D44" i="24"/>
  <c r="D43" i="24"/>
  <c r="D42" i="24"/>
  <c r="D41" i="24"/>
  <c r="D40" i="24"/>
  <c r="D100" i="24" s="1"/>
  <c r="D39" i="24"/>
  <c r="D38" i="24"/>
  <c r="D37" i="24"/>
  <c r="D36" i="24"/>
  <c r="D35" i="24"/>
  <c r="D34" i="24"/>
  <c r="D33" i="24"/>
  <c r="D32" i="24"/>
  <c r="D31" i="24"/>
  <c r="D30" i="24"/>
  <c r="D29" i="24"/>
  <c r="D28" i="24"/>
  <c r="D27" i="24"/>
  <c r="D26" i="24"/>
  <c r="D25" i="24"/>
  <c r="D24" i="24"/>
  <c r="D23" i="24"/>
  <c r="D22" i="24"/>
  <c r="D21" i="24"/>
  <c r="D20" i="24"/>
  <c r="D19" i="24"/>
  <c r="F17" i="24"/>
  <c r="E17" i="24"/>
  <c r="D101" i="24" l="1"/>
  <c r="F96" i="24"/>
  <c r="E96" i="24"/>
  <c r="E104" i="24" s="1"/>
  <c r="D98" i="24"/>
  <c r="D99" i="24"/>
  <c r="D89" i="24"/>
  <c r="D96" i="24"/>
  <c r="F104" i="24"/>
  <c r="D17" i="24"/>
  <c r="F120" i="23"/>
  <c r="F118" i="23"/>
  <c r="D104" i="24" l="1"/>
  <c r="F27" i="23"/>
  <c r="H23" i="23"/>
  <c r="H97" i="23"/>
  <c r="H32" i="23"/>
  <c r="F110" i="23"/>
  <c r="F31" i="23"/>
  <c r="H31" i="23"/>
  <c r="F175" i="23"/>
  <c r="F174" i="23"/>
  <c r="F28" i="23"/>
  <c r="F154" i="23"/>
  <c r="E144" i="23"/>
  <c r="F144" i="23"/>
  <c r="F25" i="23"/>
  <c r="F94" i="23"/>
  <c r="F68" i="23"/>
  <c r="F42" i="23"/>
  <c r="G114" i="23"/>
  <c r="G108" i="23"/>
  <c r="F108" i="23"/>
  <c r="F125" i="23"/>
  <c r="F20" i="23"/>
  <c r="G20" i="23"/>
  <c r="G23" i="23" s="1"/>
  <c r="G125" i="23"/>
  <c r="G174" i="23" l="1"/>
  <c r="G68" i="23"/>
  <c r="G62" i="23"/>
  <c r="H62" i="23"/>
  <c r="G55" i="23"/>
  <c r="G42" i="23"/>
  <c r="G101" i="23"/>
  <c r="F101" i="23"/>
  <c r="G88" i="23"/>
  <c r="F88" i="23"/>
  <c r="G81" i="23"/>
  <c r="F81" i="23"/>
  <c r="G74" i="23"/>
  <c r="F74" i="23"/>
  <c r="G31" i="23"/>
  <c r="E20" i="23"/>
  <c r="E21" i="23"/>
  <c r="E187" i="23"/>
  <c r="G32" i="23"/>
  <c r="L33" i="23" l="1"/>
  <c r="H33" i="23" s="1"/>
  <c r="J33" i="23"/>
  <c r="F33" i="23" s="1"/>
  <c r="J32" i="23"/>
  <c r="F32" i="23" s="1"/>
  <c r="I185" i="23"/>
  <c r="F185" i="23"/>
  <c r="E185" i="23" s="1"/>
  <c r="H30" i="23"/>
  <c r="J29" i="23"/>
  <c r="F29" i="23" s="1"/>
  <c r="L29" i="23"/>
  <c r="H29" i="23" s="1"/>
  <c r="H26" i="23"/>
  <c r="G26" i="23"/>
  <c r="J26" i="23"/>
  <c r="F26" i="23" s="1"/>
  <c r="J48" i="23"/>
  <c r="F48" i="23" s="1"/>
  <c r="J62" i="23"/>
  <c r="F62" i="23" s="1"/>
  <c r="J23" i="23"/>
  <c r="F23" i="23" s="1"/>
  <c r="E23" i="23" s="1"/>
  <c r="F35" i="23" l="1"/>
  <c r="H35" i="23"/>
  <c r="H184" i="23"/>
  <c r="F184" i="23"/>
  <c r="I184" i="23"/>
  <c r="J55" i="23"/>
  <c r="F55" i="23" s="1"/>
  <c r="K48" i="23"/>
  <c r="G48" i="23" s="1"/>
  <c r="E184" i="23" l="1"/>
  <c r="J106" i="23"/>
  <c r="J114" i="23"/>
  <c r="F114" i="23" s="1"/>
  <c r="F145" i="23" l="1"/>
  <c r="E151" i="23"/>
  <c r="F115" i="23"/>
  <c r="E121" i="23"/>
  <c r="E51" i="23"/>
  <c r="E52" i="23"/>
  <c r="F49" i="23"/>
  <c r="F46" i="23" s="1"/>
  <c r="F160" i="23" l="1"/>
  <c r="F34" i="23" l="1"/>
  <c r="F24" i="23"/>
  <c r="J203" i="23" l="1"/>
  <c r="J18" i="23"/>
  <c r="E34" i="23"/>
  <c r="I34" i="23"/>
  <c r="I32" i="23"/>
  <c r="F167" i="23" l="1"/>
  <c r="F155" i="23"/>
  <c r="H145" i="23"/>
  <c r="H141" i="23" s="1"/>
  <c r="G139" i="23"/>
  <c r="G133" i="23"/>
  <c r="F126" i="23"/>
  <c r="G115" i="23"/>
  <c r="G191" i="23" l="1"/>
  <c r="F109" i="23"/>
  <c r="F69" i="23"/>
  <c r="F63" i="23"/>
  <c r="F61" i="23"/>
  <c r="F56" i="23"/>
  <c r="F102" i="23"/>
  <c r="F95" i="23" l="1"/>
  <c r="F92" i="23" s="1"/>
  <c r="H89" i="23"/>
  <c r="F89" i="23"/>
  <c r="F82" i="23" l="1"/>
  <c r="F75" i="23"/>
  <c r="H75" i="23"/>
  <c r="E155" i="23" l="1"/>
  <c r="H139" i="23"/>
  <c r="J139" i="23"/>
  <c r="F139" i="23" s="1"/>
  <c r="J133" i="23"/>
  <c r="I133" i="23" s="1"/>
  <c r="J178" i="23"/>
  <c r="I180" i="23"/>
  <c r="E180" i="23"/>
  <c r="L178" i="23"/>
  <c r="K178" i="23"/>
  <c r="H178" i="23"/>
  <c r="G178" i="23"/>
  <c r="F178" i="23"/>
  <c r="E178" i="23" s="1"/>
  <c r="I177" i="23"/>
  <c r="F177" i="23"/>
  <c r="E177" i="23" s="1"/>
  <c r="I176" i="23"/>
  <c r="E176" i="23"/>
  <c r="I175" i="23"/>
  <c r="E175" i="23"/>
  <c r="I174" i="23"/>
  <c r="E174" i="23"/>
  <c r="L171" i="23"/>
  <c r="K171" i="23"/>
  <c r="J171" i="23"/>
  <c r="I171" i="23"/>
  <c r="H171" i="23"/>
  <c r="G171" i="23"/>
  <c r="I170" i="23"/>
  <c r="E170" i="23"/>
  <c r="I169" i="23"/>
  <c r="E169" i="23"/>
  <c r="I168" i="23"/>
  <c r="E168" i="23"/>
  <c r="I167" i="23"/>
  <c r="E167" i="23"/>
  <c r="I166" i="23"/>
  <c r="G163" i="23"/>
  <c r="E166" i="23"/>
  <c r="L163" i="23"/>
  <c r="K163" i="23"/>
  <c r="J163" i="23"/>
  <c r="H163" i="23"/>
  <c r="I162" i="23"/>
  <c r="H162" i="23"/>
  <c r="H157" i="23" s="1"/>
  <c r="F162" i="23"/>
  <c r="I161" i="23"/>
  <c r="E161" i="23"/>
  <c r="I160" i="23"/>
  <c r="E160" i="23"/>
  <c r="I159" i="23"/>
  <c r="E159" i="23"/>
  <c r="L157" i="23"/>
  <c r="K157" i="23"/>
  <c r="J157" i="23"/>
  <c r="G157" i="23"/>
  <c r="I155" i="23"/>
  <c r="I154" i="23"/>
  <c r="E154" i="23"/>
  <c r="L152" i="23"/>
  <c r="K152" i="23"/>
  <c r="J152" i="23"/>
  <c r="H152" i="23"/>
  <c r="G152" i="23"/>
  <c r="F152" i="23"/>
  <c r="I150" i="23"/>
  <c r="F150" i="23"/>
  <c r="I149" i="23"/>
  <c r="E149" i="23"/>
  <c r="I145" i="23"/>
  <c r="E145" i="23"/>
  <c r="I144" i="23"/>
  <c r="G141" i="23"/>
  <c r="E143" i="23"/>
  <c r="L141" i="23"/>
  <c r="K141" i="23"/>
  <c r="J141" i="23"/>
  <c r="I140" i="23"/>
  <c r="E140" i="23"/>
  <c r="I139" i="23"/>
  <c r="H128" i="23"/>
  <c r="I138" i="23"/>
  <c r="G128" i="23"/>
  <c r="E138" i="23"/>
  <c r="I137" i="23"/>
  <c r="E137" i="23"/>
  <c r="I136" i="23"/>
  <c r="E136" i="23"/>
  <c r="I135" i="23"/>
  <c r="E135" i="23"/>
  <c r="I134" i="23"/>
  <c r="E134" i="23"/>
  <c r="I132" i="23"/>
  <c r="E132" i="23"/>
  <c r="I131" i="23"/>
  <c r="E131" i="23"/>
  <c r="I130" i="23"/>
  <c r="E130" i="23"/>
  <c r="L128" i="23"/>
  <c r="K128" i="23"/>
  <c r="I126" i="23"/>
  <c r="E126" i="23"/>
  <c r="I125" i="23"/>
  <c r="E125" i="23"/>
  <c r="I124" i="23"/>
  <c r="E124" i="23"/>
  <c r="L122" i="23"/>
  <c r="K122" i="23"/>
  <c r="J122" i="23"/>
  <c r="H122" i="23"/>
  <c r="G122" i="23"/>
  <c r="F122" i="23"/>
  <c r="I120" i="23"/>
  <c r="H120" i="23"/>
  <c r="H112" i="23" s="1"/>
  <c r="G120" i="23"/>
  <c r="I119" i="23"/>
  <c r="G119" i="23"/>
  <c r="F119" i="23"/>
  <c r="E119" i="23" s="1"/>
  <c r="I118" i="23"/>
  <c r="E118" i="23"/>
  <c r="I115" i="23"/>
  <c r="E115" i="23"/>
  <c r="I114" i="23"/>
  <c r="E114" i="23"/>
  <c r="L112" i="23"/>
  <c r="K112" i="23"/>
  <c r="J112" i="23"/>
  <c r="I111" i="23"/>
  <c r="E111" i="23"/>
  <c r="I110" i="23"/>
  <c r="E110" i="23"/>
  <c r="I109" i="23"/>
  <c r="E109" i="23"/>
  <c r="I108" i="23"/>
  <c r="E108" i="23"/>
  <c r="L106" i="23"/>
  <c r="I106" i="23" s="1"/>
  <c r="K106" i="23"/>
  <c r="H106" i="23"/>
  <c r="G106" i="23"/>
  <c r="I104" i="23"/>
  <c r="E104" i="23"/>
  <c r="I103" i="23"/>
  <c r="E103" i="23"/>
  <c r="I102" i="23"/>
  <c r="E102" i="23"/>
  <c r="I101" i="23"/>
  <c r="E101" i="23"/>
  <c r="L99" i="23"/>
  <c r="K99" i="23"/>
  <c r="J99" i="23"/>
  <c r="H99" i="23"/>
  <c r="G99" i="23"/>
  <c r="I98" i="23"/>
  <c r="E98" i="23"/>
  <c r="I97" i="23"/>
  <c r="H92" i="23"/>
  <c r="E97" i="23"/>
  <c r="I96" i="23"/>
  <c r="E96" i="23"/>
  <c r="I95" i="23"/>
  <c r="E95" i="23"/>
  <c r="I94" i="23"/>
  <c r="E94" i="23"/>
  <c r="L92" i="23"/>
  <c r="K92" i="23"/>
  <c r="J92" i="23"/>
  <c r="I92" i="23" s="1"/>
  <c r="G92" i="23"/>
  <c r="I91" i="23"/>
  <c r="E91" i="23"/>
  <c r="I90" i="23"/>
  <c r="E90" i="23"/>
  <c r="I89" i="23"/>
  <c r="E89" i="23"/>
  <c r="I88" i="23"/>
  <c r="E88" i="23"/>
  <c r="L86" i="23"/>
  <c r="K86" i="23"/>
  <c r="J86" i="23"/>
  <c r="H86" i="23"/>
  <c r="G86" i="23"/>
  <c r="I84" i="23"/>
  <c r="E84" i="23"/>
  <c r="I83" i="23"/>
  <c r="E83" i="23"/>
  <c r="I82" i="23"/>
  <c r="E82" i="23"/>
  <c r="I81" i="23"/>
  <c r="E81" i="23"/>
  <c r="L79" i="23"/>
  <c r="K79" i="23"/>
  <c r="J79" i="23"/>
  <c r="H79" i="23"/>
  <c r="G79" i="23"/>
  <c r="F79" i="23"/>
  <c r="E79" i="23" s="1"/>
  <c r="I78" i="23"/>
  <c r="H78" i="23"/>
  <c r="H191" i="23" s="1"/>
  <c r="F78" i="23"/>
  <c r="I77" i="23"/>
  <c r="E77" i="23"/>
  <c r="I76" i="23"/>
  <c r="E76" i="23"/>
  <c r="I75" i="23"/>
  <c r="E75" i="23"/>
  <c r="I74" i="23"/>
  <c r="G72" i="23"/>
  <c r="E74" i="23"/>
  <c r="L72" i="23"/>
  <c r="K72" i="23"/>
  <c r="J72" i="23"/>
  <c r="I70" i="23"/>
  <c r="E70" i="23"/>
  <c r="I69" i="23"/>
  <c r="E69" i="23"/>
  <c r="I68" i="23"/>
  <c r="E68" i="23"/>
  <c r="L66" i="23"/>
  <c r="K66" i="23"/>
  <c r="J66" i="23"/>
  <c r="H66" i="23"/>
  <c r="G66" i="23"/>
  <c r="I64" i="23"/>
  <c r="E64" i="23"/>
  <c r="I63" i="23"/>
  <c r="E63" i="23"/>
  <c r="I62" i="23"/>
  <c r="H59" i="23"/>
  <c r="G59" i="23"/>
  <c r="F59" i="23"/>
  <c r="I61" i="23"/>
  <c r="E61" i="23"/>
  <c r="L59" i="23"/>
  <c r="K59" i="23"/>
  <c r="J59" i="23"/>
  <c r="I57" i="23"/>
  <c r="E57" i="23"/>
  <c r="I56" i="23"/>
  <c r="E56" i="23"/>
  <c r="I55" i="23"/>
  <c r="E55" i="23"/>
  <c r="L53" i="23"/>
  <c r="K53" i="23"/>
  <c r="J53" i="23"/>
  <c r="H53" i="23"/>
  <c r="G53" i="23"/>
  <c r="I50" i="23"/>
  <c r="E50" i="23"/>
  <c r="I49" i="23"/>
  <c r="E49" i="23"/>
  <c r="I48" i="23"/>
  <c r="E48" i="23"/>
  <c r="L46" i="23"/>
  <c r="K46" i="23"/>
  <c r="J46" i="23"/>
  <c r="H46" i="23"/>
  <c r="E46" i="23" s="1"/>
  <c r="G46" i="23"/>
  <c r="I45" i="23"/>
  <c r="E45" i="23"/>
  <c r="I44" i="23"/>
  <c r="E44" i="23"/>
  <c r="I43" i="23"/>
  <c r="E43" i="23"/>
  <c r="I42" i="23"/>
  <c r="E42" i="23"/>
  <c r="L40" i="23"/>
  <c r="K40" i="23"/>
  <c r="J40" i="23"/>
  <c r="H40" i="23"/>
  <c r="G40" i="23"/>
  <c r="F40" i="23"/>
  <c r="I39" i="23"/>
  <c r="E39" i="23"/>
  <c r="I38" i="23"/>
  <c r="E38" i="23"/>
  <c r="I37" i="23"/>
  <c r="E37" i="23"/>
  <c r="I35" i="23"/>
  <c r="E35" i="23"/>
  <c r="I33" i="23"/>
  <c r="I31" i="23"/>
  <c r="E31" i="23"/>
  <c r="I30" i="23"/>
  <c r="E30" i="23"/>
  <c r="I29" i="23"/>
  <c r="I28" i="23"/>
  <c r="E28" i="23"/>
  <c r="I27" i="23"/>
  <c r="E27" i="23"/>
  <c r="I26" i="23"/>
  <c r="E26" i="23"/>
  <c r="I25" i="23"/>
  <c r="E25" i="23"/>
  <c r="I24" i="23"/>
  <c r="E24" i="23"/>
  <c r="I23" i="23"/>
  <c r="I22" i="23"/>
  <c r="E22" i="23"/>
  <c r="I20" i="23"/>
  <c r="G18" i="23"/>
  <c r="L18" i="23"/>
  <c r="K18" i="23"/>
  <c r="I17" i="23"/>
  <c r="E17" i="23"/>
  <c r="L15" i="23"/>
  <c r="I15" i="23" s="1"/>
  <c r="K15" i="23"/>
  <c r="H15" i="23"/>
  <c r="G15" i="23"/>
  <c r="F15" i="23"/>
  <c r="I152" i="23" l="1"/>
  <c r="I112" i="23"/>
  <c r="E15" i="23"/>
  <c r="G112" i="23"/>
  <c r="I122" i="23"/>
  <c r="E152" i="23"/>
  <c r="I79" i="23"/>
  <c r="E122" i="23"/>
  <c r="J128" i="23"/>
  <c r="I128" i="23" s="1"/>
  <c r="I178" i="23"/>
  <c r="J191" i="23"/>
  <c r="F133" i="23"/>
  <c r="F128" i="23" s="1"/>
  <c r="E128" i="23" s="1"/>
  <c r="I40" i="23"/>
  <c r="I53" i="23"/>
  <c r="I99" i="23"/>
  <c r="I59" i="23"/>
  <c r="E150" i="23"/>
  <c r="F141" i="23"/>
  <c r="E141" i="23" s="1"/>
  <c r="I141" i="23"/>
  <c r="H72" i="23"/>
  <c r="E78" i="23"/>
  <c r="F203" i="23"/>
  <c r="F112" i="23"/>
  <c r="E112" i="23" s="1"/>
  <c r="E120" i="23"/>
  <c r="I163" i="23"/>
  <c r="I46" i="23"/>
  <c r="I86" i="23"/>
  <c r="E40" i="23"/>
  <c r="E162" i="23"/>
  <c r="I157" i="23"/>
  <c r="F157" i="23"/>
  <c r="E157" i="23" s="1"/>
  <c r="F99" i="23"/>
  <c r="E99" i="23" s="1"/>
  <c r="F86" i="23"/>
  <c r="E86" i="23" s="1"/>
  <c r="I72" i="23"/>
  <c r="F72" i="23"/>
  <c r="E72" i="23" s="1"/>
  <c r="F66" i="23"/>
  <c r="E66" i="23" s="1"/>
  <c r="I66" i="23"/>
  <c r="F53" i="23"/>
  <c r="E53" i="23" s="1"/>
  <c r="E32" i="23"/>
  <c r="F18" i="23"/>
  <c r="E33" i="23"/>
  <c r="E59" i="23"/>
  <c r="I18" i="23"/>
  <c r="E29" i="23"/>
  <c r="E139" i="23"/>
  <c r="E62" i="23"/>
  <c r="E92" i="23"/>
  <c r="F163" i="23"/>
  <c r="E163" i="23" s="1"/>
  <c r="F106" i="23"/>
  <c r="E106" i="23" s="1"/>
  <c r="F171" i="23"/>
  <c r="E171" i="23" s="1"/>
  <c r="F191" i="23" l="1"/>
  <c r="E191" i="23" s="1"/>
  <c r="E133" i="23"/>
  <c r="J181" i="23"/>
  <c r="J188" i="23" s="1"/>
  <c r="F181" i="23"/>
  <c r="F188" i="23" s="1"/>
  <c r="H18" i="23"/>
  <c r="E18" i="23" s="1"/>
  <c r="K203" i="23" l="1"/>
  <c r="H203" i="23"/>
  <c r="E203" i="23" s="1"/>
  <c r="G203" i="23"/>
  <c r="L202" i="23"/>
  <c r="K202" i="23"/>
  <c r="J202" i="23"/>
  <c r="H202" i="23"/>
  <c r="G202" i="23"/>
  <c r="F202" i="23"/>
  <c r="L201" i="23"/>
  <c r="K201" i="23"/>
  <c r="J201" i="23"/>
  <c r="H201" i="23"/>
  <c r="G201" i="23"/>
  <c r="F201" i="23"/>
  <c r="L200" i="23"/>
  <c r="K200" i="23"/>
  <c r="J200" i="23"/>
  <c r="H200" i="23"/>
  <c r="G200" i="23"/>
  <c r="F200" i="23"/>
  <c r="L199" i="23"/>
  <c r="K199" i="23"/>
  <c r="J199" i="23"/>
  <c r="H199" i="23"/>
  <c r="G199" i="23"/>
  <c r="F199" i="23"/>
  <c r="L198" i="23"/>
  <c r="K198" i="23"/>
  <c r="J198" i="23"/>
  <c r="H198" i="23"/>
  <c r="G198" i="23"/>
  <c r="F198" i="23"/>
  <c r="L197" i="23"/>
  <c r="K197" i="23"/>
  <c r="J197" i="23"/>
  <c r="H197" i="23"/>
  <c r="G197" i="23"/>
  <c r="F197" i="23"/>
  <c r="L196" i="23"/>
  <c r="K196" i="23"/>
  <c r="J196" i="23"/>
  <c r="H196" i="23"/>
  <c r="G196" i="23"/>
  <c r="F196" i="23"/>
  <c r="L195" i="23"/>
  <c r="K195" i="23"/>
  <c r="J195" i="23"/>
  <c r="H195" i="23"/>
  <c r="G195" i="23"/>
  <c r="F195" i="23"/>
  <c r="L194" i="23"/>
  <c r="K194" i="23"/>
  <c r="J194" i="23"/>
  <c r="H194" i="23"/>
  <c r="G194" i="23"/>
  <c r="F194" i="23"/>
  <c r="L192" i="23"/>
  <c r="K192" i="23"/>
  <c r="J192" i="23"/>
  <c r="H192" i="23"/>
  <c r="G192" i="23"/>
  <c r="F192" i="23"/>
  <c r="L191" i="23"/>
  <c r="I191" i="23" s="1"/>
  <c r="K191" i="23"/>
  <c r="K190" i="23"/>
  <c r="J190" i="23"/>
  <c r="H190" i="23"/>
  <c r="G190" i="23"/>
  <c r="F190" i="23"/>
  <c r="I183" i="23"/>
  <c r="L203" i="23"/>
  <c r="I192" i="23" l="1"/>
  <c r="I203" i="23"/>
  <c r="I201" i="23"/>
  <c r="I195" i="23"/>
  <c r="I197" i="23"/>
  <c r="I199" i="23"/>
  <c r="E196" i="23"/>
  <c r="E198" i="23"/>
  <c r="E200" i="23"/>
  <c r="E202" i="23"/>
  <c r="K181" i="23"/>
  <c r="K188" i="23" s="1"/>
  <c r="H181" i="23"/>
  <c r="E192" i="23"/>
  <c r="E195" i="23"/>
  <c r="E197" i="23"/>
  <c r="E199" i="23"/>
  <c r="E201" i="23"/>
  <c r="G181" i="23"/>
  <c r="G188" i="23" s="1"/>
  <c r="E190" i="23"/>
  <c r="I196" i="23"/>
  <c r="I198" i="23"/>
  <c r="I200" i="23"/>
  <c r="I202" i="23"/>
  <c r="L181" i="23"/>
  <c r="E194" i="23"/>
  <c r="I194" i="23"/>
  <c r="L190" i="23"/>
  <c r="I190" i="23" s="1"/>
  <c r="I181" i="23" l="1"/>
  <c r="I188" i="23" s="1"/>
  <c r="L188" i="23"/>
  <c r="E181" i="23"/>
  <c r="E188" i="23" s="1"/>
  <c r="H188" i="23"/>
</calcChain>
</file>

<file path=xl/sharedStrings.xml><?xml version="1.0" encoding="utf-8"?>
<sst xmlns="http://schemas.openxmlformats.org/spreadsheetml/2006/main" count="1023" uniqueCount="336">
  <si>
    <t>Iš viso</t>
  </si>
  <si>
    <t>Išlaidoms</t>
  </si>
  <si>
    <t>Iš jų:</t>
  </si>
  <si>
    <t>Administracijos direktoriaus rezervas</t>
  </si>
  <si>
    <t>Visagino savivaldybės tarybos</t>
  </si>
  <si>
    <t>Iš jų</t>
  </si>
  <si>
    <t>Eil. Nr.</t>
  </si>
  <si>
    <t>10</t>
  </si>
  <si>
    <t>„Atgimimo“ gimnazijos direktorius</t>
  </si>
  <si>
    <t>Lopšelio-darželio „Auksinis raktelis“ direktorius</t>
  </si>
  <si>
    <t>Lopšelio-darželio „Kūlverstukas“ direktorius</t>
  </si>
  <si>
    <t>Lopšelio-darželio „Gintarėlis“ direktorius</t>
  </si>
  <si>
    <t>Lopšelio-darželio „Ąžuoliukas“ direktorius</t>
  </si>
  <si>
    <t>Lopšelio-darželio „Auksinis gaidelis“ direktorius</t>
  </si>
  <si>
    <t>„Verdenės“ gimnazijos direktorius</t>
  </si>
  <si>
    <t>„Žiburio“ pagrindinės mokyklos direktorius</t>
  </si>
  <si>
    <t>Socialinių paslaugų centro direktorius</t>
  </si>
  <si>
    <t>Sporto centro direktorius</t>
  </si>
  <si>
    <t>Kultūros centro direktorius</t>
  </si>
  <si>
    <t>Viešosios bibliotekos direktorius</t>
  </si>
  <si>
    <t xml:space="preserve">Kontrolės ir audito tarnybos savivaldybės kontrolierius </t>
  </si>
  <si>
    <t>Visagino savivaldybės administracijos direktorius</t>
  </si>
  <si>
    <t>1.1.</t>
  </si>
  <si>
    <t>01</t>
  </si>
  <si>
    <t>06</t>
  </si>
  <si>
    <t>Asignavimų valdytojas</t>
  </si>
  <si>
    <t>02</t>
  </si>
  <si>
    <t>3.1.</t>
  </si>
  <si>
    <t>4.1.</t>
  </si>
  <si>
    <t>4.2.</t>
  </si>
  <si>
    <t>5.1.</t>
  </si>
  <si>
    <t>04</t>
  </si>
  <si>
    <t>03</t>
  </si>
  <si>
    <t>08</t>
  </si>
  <si>
    <t>07</t>
  </si>
  <si>
    <t>Savivaldybės valdymo tobulinimo programa</t>
  </si>
  <si>
    <t>Finansavimo šaltinis</t>
  </si>
  <si>
    <t>B</t>
  </si>
  <si>
    <t>iš jų darbo užmokesčiui</t>
  </si>
  <si>
    <t>Turtui įsigyti</t>
  </si>
  <si>
    <t>05</t>
  </si>
  <si>
    <t>09</t>
  </si>
  <si>
    <t>Švietimo paslaugų plėtros programa</t>
  </si>
  <si>
    <t xml:space="preserve"> Kūno kultūros ir sporto plėtros programa</t>
  </si>
  <si>
    <t>Gyventojų kultūrinio aktyvumo skatinimo ir identiteto stiprinimo programa</t>
  </si>
  <si>
    <t>Socialinės paramos įgyvendinimo programa</t>
  </si>
  <si>
    <t>Sveikatos apsaugos paslaugų kokybės gerinimo programa</t>
  </si>
  <si>
    <t>Aplinkos apsaugos programa</t>
  </si>
  <si>
    <t>Savivaldybės ekonominės plėtros programa</t>
  </si>
  <si>
    <t>Viešosios infrastruktūros plėtros programa</t>
  </si>
  <si>
    <t>3.2.</t>
  </si>
  <si>
    <t>3.3.</t>
  </si>
  <si>
    <t>ĮP(B)</t>
  </si>
  <si>
    <t>4.3.</t>
  </si>
  <si>
    <t>5.2.</t>
  </si>
  <si>
    <t>5.3.</t>
  </si>
  <si>
    <t>6.1.</t>
  </si>
  <si>
    <t>6.2.</t>
  </si>
  <si>
    <t>6.3.</t>
  </si>
  <si>
    <t>6.4.</t>
  </si>
  <si>
    <t>7.1.</t>
  </si>
  <si>
    <t>7.2.</t>
  </si>
  <si>
    <t>7.3.</t>
  </si>
  <si>
    <t>8.1.</t>
  </si>
  <si>
    <t>8.2.</t>
  </si>
  <si>
    <t>9.1.</t>
  </si>
  <si>
    <t>9.2.</t>
  </si>
  <si>
    <t>10.1.</t>
  </si>
  <si>
    <t>10.2.</t>
  </si>
  <si>
    <t>11.1.</t>
  </si>
  <si>
    <t>11.2.</t>
  </si>
  <si>
    <t>12.1.</t>
  </si>
  <si>
    <t>12.2.</t>
  </si>
  <si>
    <t>13.1.</t>
  </si>
  <si>
    <t>13.2.</t>
  </si>
  <si>
    <t>14.1.</t>
  </si>
  <si>
    <t>14.2.</t>
  </si>
  <si>
    <t>15.1.</t>
  </si>
  <si>
    <t>15.2.</t>
  </si>
  <si>
    <t>16.1.</t>
  </si>
  <si>
    <t>16.2.</t>
  </si>
  <si>
    <t>16.3.</t>
  </si>
  <si>
    <t>17.1.</t>
  </si>
  <si>
    <t>17.2.</t>
  </si>
  <si>
    <t>17.3.</t>
  </si>
  <si>
    <t>17.4.</t>
  </si>
  <si>
    <t>18.1.</t>
  </si>
  <si>
    <t>18.2.</t>
  </si>
  <si>
    <t>19.1.</t>
  </si>
  <si>
    <t>19.2.</t>
  </si>
  <si>
    <t>20.1.</t>
  </si>
  <si>
    <t>20.2.</t>
  </si>
  <si>
    <t>20.3.</t>
  </si>
  <si>
    <t>21.1.</t>
  </si>
  <si>
    <t>22.1.</t>
  </si>
  <si>
    <t>Programų kodas</t>
  </si>
  <si>
    <t>21.2.</t>
  </si>
  <si>
    <t>Kūrybos namų direktorius</t>
  </si>
  <si>
    <t>7.</t>
  </si>
  <si>
    <t>8.</t>
  </si>
  <si>
    <t>10.</t>
  </si>
  <si>
    <t>11.</t>
  </si>
  <si>
    <t>12.</t>
  </si>
  <si>
    <t>13.</t>
  </si>
  <si>
    <t>14.</t>
  </si>
  <si>
    <t>15.</t>
  </si>
  <si>
    <t>16.</t>
  </si>
  <si>
    <t>16.4.</t>
  </si>
  <si>
    <t>17.</t>
  </si>
  <si>
    <t>18.</t>
  </si>
  <si>
    <t>19.</t>
  </si>
  <si>
    <t>20.</t>
  </si>
  <si>
    <t>21.</t>
  </si>
  <si>
    <t>22.</t>
  </si>
  <si>
    <t>23.</t>
  </si>
  <si>
    <t>Bendruomeniškumo skatinimo programa</t>
  </si>
  <si>
    <t>Q</t>
  </si>
  <si>
    <t>Kūno kultūros ir sporto plėtros programa</t>
  </si>
  <si>
    <t>Savivaldybės biudžeto lėšos</t>
  </si>
  <si>
    <t>Įstaigų pajamų lėšos</t>
  </si>
  <si>
    <t xml:space="preserve">Skolintos lėšos investicijų projektams finansuoti </t>
  </si>
  <si>
    <t>Visagino savivaldybės taryba</t>
  </si>
  <si>
    <t>1.</t>
  </si>
  <si>
    <t>2.</t>
  </si>
  <si>
    <t>2.1.</t>
  </si>
  <si>
    <t>2.2.</t>
  </si>
  <si>
    <t>2.3.</t>
  </si>
  <si>
    <t>2.4.</t>
  </si>
  <si>
    <t>2.5.</t>
  </si>
  <si>
    <t>2.6.</t>
  </si>
  <si>
    <t>2.7.</t>
  </si>
  <si>
    <t>2.8.</t>
  </si>
  <si>
    <t>2.9.</t>
  </si>
  <si>
    <t>2.10.</t>
  </si>
  <si>
    <t>2.11.</t>
  </si>
  <si>
    <t>2.12.</t>
  </si>
  <si>
    <t>3.</t>
  </si>
  <si>
    <t>6.</t>
  </si>
  <si>
    <t>5.</t>
  </si>
  <si>
    <t>4.</t>
  </si>
  <si>
    <t>3.4.</t>
  </si>
  <si>
    <t>5.4.</t>
  </si>
  <si>
    <t>6.5.</t>
  </si>
  <si>
    <t>8.3.</t>
  </si>
  <si>
    <t>9.3.</t>
  </si>
  <si>
    <t>11.3.</t>
  </si>
  <si>
    <t>21.3.</t>
  </si>
  <si>
    <t>12.3.</t>
  </si>
  <si>
    <t>Rekreacijos paslaugų centro direktorius</t>
  </si>
  <si>
    <t>2.1 priedas</t>
  </si>
  <si>
    <t>Č. Sasnausko menų mokyklos direktorius</t>
  </si>
  <si>
    <t>Tūkst. Eur</t>
  </si>
  <si>
    <t>Šeimos ir vaiko gerovės centro direktorius</t>
  </si>
  <si>
    <t>Draugystės progimnazijos direktorius</t>
  </si>
  <si>
    <t>„Gerosios vilties“ progimnazijos direktorius</t>
  </si>
  <si>
    <t>Švietimo pagalbos tarnybos direktorius</t>
  </si>
  <si>
    <t>21.4.</t>
  </si>
  <si>
    <t>2.12.3.</t>
  </si>
  <si>
    <t>Projekto „Naujų kapinių techninio projekto parengimas ir naujų kapinių įrengimas, kolumbariumo įrengimas“ įgyvendinimas</t>
  </si>
  <si>
    <t>9.</t>
  </si>
  <si>
    <t>10.3.</t>
  </si>
  <si>
    <t>13.3.</t>
  </si>
  <si>
    <t>14.3.</t>
  </si>
  <si>
    <t>14.4.</t>
  </si>
  <si>
    <t>15.3.</t>
  </si>
  <si>
    <t>16.5.</t>
  </si>
  <si>
    <t>16.6.</t>
  </si>
  <si>
    <t>16.7.</t>
  </si>
  <si>
    <t>19.3.</t>
  </si>
  <si>
    <t>19.4.</t>
  </si>
  <si>
    <t>20.4.</t>
  </si>
  <si>
    <t>IŠ VISO:</t>
  </si>
  <si>
    <t>Iš jų: finansinių įsipareigojimų vykdymas (paskolų grąžinimas)</t>
  </si>
  <si>
    <t>24.</t>
  </si>
  <si>
    <t>IŠ VISO ASIGNAVIMŲ (23-24)</t>
  </si>
  <si>
    <t>Apyvartos lėšos</t>
  </si>
  <si>
    <t>12.4.</t>
  </si>
  <si>
    <t>4.4.</t>
  </si>
  <si>
    <t>7.4.</t>
  </si>
  <si>
    <t>9.4.</t>
  </si>
  <si>
    <t>10.4.</t>
  </si>
  <si>
    <t>11.4.</t>
  </si>
  <si>
    <t>13.4.</t>
  </si>
  <si>
    <t>14.5.</t>
  </si>
  <si>
    <t>17.5.</t>
  </si>
  <si>
    <t>20.6.</t>
  </si>
  <si>
    <t>redakcija)</t>
  </si>
  <si>
    <t>8.4.</t>
  </si>
  <si>
    <t>Iš žemės realizavimo pajamų</t>
  </si>
  <si>
    <t>Iš pastatų ir statinių realizavimo pajamų</t>
  </si>
  <si>
    <t>8.5.</t>
  </si>
  <si>
    <t>11.5.</t>
  </si>
  <si>
    <t>Projekto „VšĮ IAE regiono verslo ir turizmo informacijos centro pastato, esančio adresu Taikos g. 7, energijos vartojimo efektyvumo didinimas“ įgyvendinimas</t>
  </si>
  <si>
    <t>Finansų ir biudžeto skyrius (paskolų grąžinimas ir palūkanų mokėjimas)</t>
  </si>
  <si>
    <t>9.5.</t>
  </si>
  <si>
    <t>Visagino savivaldybės tarybos ir mero sekretoriatas</t>
  </si>
  <si>
    <t>18.3.</t>
  </si>
  <si>
    <t>12.5.</t>
  </si>
  <si>
    <t>(2020 m. gruodžio __ d. sprendimo Nr. TS-___</t>
  </si>
  <si>
    <t>2020 m. vasario __d. sprendimo Nr. TS-__</t>
  </si>
  <si>
    <t>Visagino savivaldybės 2020 m. biudžeto lėšos savarankiškoms funkcijoms vykdyti</t>
  </si>
  <si>
    <t>Iš jų 2019 m. nepanaudota pajamų dalis</t>
  </si>
  <si>
    <t>Projekto „Visagino savivaldybės viešųjų pastatų energijos efektyvumo didinimas (IV etapas)“  įgyvendinimas</t>
  </si>
  <si>
    <t>2.13.</t>
  </si>
  <si>
    <t>2.13.1.</t>
  </si>
  <si>
    <t>2.13.2.</t>
  </si>
  <si>
    <t>2020 m. vasario __ d. sprendimo Nr. TS-__</t>
  </si>
  <si>
    <t>(2019 m. kovo __ d. sprendimo Nr. TS-__</t>
  </si>
  <si>
    <t>2.2  priedas</t>
  </si>
  <si>
    <t>Visagino savivaldybės valstybinėms (valstybės perduotoms savivaldybėms) funkcijoms vykdyti</t>
  </si>
  <si>
    <t>2020 m. biudžeto išlaidos</t>
  </si>
  <si>
    <t>Perduotos funkcijos pavadinimas ir asignavimų valdytojas</t>
  </si>
  <si>
    <t>Programos kodas</t>
  </si>
  <si>
    <t>Skirta lėšų perduotai funkcijai vykdyti</t>
  </si>
  <si>
    <t>iš jų šioms perduotoms funkcijoms vykdyti:</t>
  </si>
  <si>
    <t>Gyventojų registro tvarkymas ir duomenų valstybės registrui teikimas</t>
  </si>
  <si>
    <t>1.2.</t>
  </si>
  <si>
    <t>Archyvinių dokumentų tvarkymas</t>
  </si>
  <si>
    <t>1.3.</t>
  </si>
  <si>
    <t>Duomenų teikimas Suteiktos valstybės pagalbos ir nereikšmingos pagalbos registrui</t>
  </si>
  <si>
    <t>1.4.</t>
  </si>
  <si>
    <t>Jaunimo teisių apsauga</t>
  </si>
  <si>
    <t>1.5.</t>
  </si>
  <si>
    <t>Valstybinės kalbos vartojimo ir taisyklingumo kontrolė</t>
  </si>
  <si>
    <t>1.6.</t>
  </si>
  <si>
    <t>Civilinės būklės aktų registravimas</t>
  </si>
  <si>
    <t>1.7.</t>
  </si>
  <si>
    <t>Pirminė teisinė pagalba</t>
  </si>
  <si>
    <t>1.8.</t>
  </si>
  <si>
    <t>Mobilizacijos administravimas</t>
  </si>
  <si>
    <t>1.9.</t>
  </si>
  <si>
    <t>Gyvenamosios vietos deklaravimas</t>
  </si>
  <si>
    <t>1.10.</t>
  </si>
  <si>
    <t>Civilinės saugos organizavimas</t>
  </si>
  <si>
    <t>1.11.</t>
  </si>
  <si>
    <t>Žemės ūkio funkcijoms vykdyti</t>
  </si>
  <si>
    <t>1.12.</t>
  </si>
  <si>
    <t>Socialinėms išmokoms ir kompensacijoms skaičiuoti  ir mokėti (administravimui)</t>
  </si>
  <si>
    <t>1.13.</t>
  </si>
  <si>
    <t>Socialinėms išmokoms ir kompensacijoms skaičiuoti  ir mokėti</t>
  </si>
  <si>
    <t>1.14.</t>
  </si>
  <si>
    <t>Socialinei paramai mokiniams administruoti</t>
  </si>
  <si>
    <t>Socialinei paramai mokiniams (už įsigytus reikmenis)</t>
  </si>
  <si>
    <t>1.15.</t>
  </si>
  <si>
    <t xml:space="preserve">Socialinėms paslaugoms (socialinei globai asmenims su sunkia negalia) administruoti </t>
  </si>
  <si>
    <t xml:space="preserve">Socialinėms paslaugoms (socialinei globai asmenims su sunkia negalia) </t>
  </si>
  <si>
    <t>1.16.</t>
  </si>
  <si>
    <t>Užimtumo didinimo programoms administruoti</t>
  </si>
  <si>
    <t>Užimtumo didinimo programai įgyvendinti (užimtumo skatinimo ir motyvavimo paslaugų nedirbantiems ir socialinę paramą gaunaniems asmenims modeliui įgyvendinti)</t>
  </si>
  <si>
    <t>Užimtumo didinimo programai įgyvendinti</t>
  </si>
  <si>
    <t>1.17.</t>
  </si>
  <si>
    <t xml:space="preserve">Būsto nuomos ar išperkamosios būsto nuomos mokesčių dalies kompensacijoms </t>
  </si>
  <si>
    <t>1.18.</t>
  </si>
  <si>
    <t>Sveikos gyvensenos plėtojimui ir mokinių sveikatos įgūdžių ugdymo įstaigose stiprinimui</t>
  </si>
  <si>
    <t>1.19.</t>
  </si>
  <si>
    <t>Sveikos gyvensenos įgūdžių bendruomenėse stiprinimui bei visuomenės sveikatos stebėsenos savivaldybėje vykdymui</t>
  </si>
  <si>
    <t>1.20.</t>
  </si>
  <si>
    <t>Ankstyvojo savižudybių atpažinimo ir kompleksinės pagalbos savižudybės grėsmę patiriantiems asmenims teikimo sistemai sukurti</t>
  </si>
  <si>
    <t>1.21.</t>
  </si>
  <si>
    <t>Neveiksnių asmenų būklės peržiūrėjimui užtikrinti</t>
  </si>
  <si>
    <t>1.22.</t>
  </si>
  <si>
    <t>Valstybės žemės ir kito valstybės turto valdymas, naudojimas ir disponavimas patikėjimo teise</t>
  </si>
  <si>
    <t>1.23.</t>
  </si>
  <si>
    <t>Savivaldybės erdvinių duomenų rinkinio tvarkymas</t>
  </si>
  <si>
    <t>Socialinei paramai mokiniams (mokinių maitinimas)</t>
  </si>
  <si>
    <t>Socialinei priežiūrai socialinės rizikos šeimoms</t>
  </si>
  <si>
    <t>Iš viso:</t>
  </si>
  <si>
    <t>01 programa</t>
  </si>
  <si>
    <t>06 programa</t>
  </si>
  <si>
    <t>07 programa</t>
  </si>
  <si>
    <t>09 programa</t>
  </si>
  <si>
    <t>(2020 m. balandžio __ d. sprendimo Nr. TS-__</t>
  </si>
  <si>
    <t>2.3 priedas</t>
  </si>
  <si>
    <t>Visagino savivaldybės švietimo įstaigoms skirti 2020 m. asignavimai ugdymo reikmėms finansuoti</t>
  </si>
  <si>
    <t>Skirta ugdymo reikmėms finansuoti</t>
  </si>
  <si>
    <t xml:space="preserve">Visagino savivaldybės administracijos direktorius </t>
  </si>
  <si>
    <t>iš jų:</t>
  </si>
  <si>
    <t>mokymo pasiekimų patikrinimams orgainizuoti ir vykdyti</t>
  </si>
  <si>
    <t>nepaskirstytos lėšos (2,4 proc.)</t>
  </si>
  <si>
    <t xml:space="preserve">Švietimo pagalbos tarnybos direktorius </t>
  </si>
  <si>
    <t>02 programa</t>
  </si>
  <si>
    <t>03 programa</t>
  </si>
  <si>
    <t>2020 m. vasario __  d. sprendimo Nr. TS-__</t>
  </si>
  <si>
    <t>2.4 priedas</t>
  </si>
  <si>
    <t xml:space="preserve">Visagino savivaldybės 2020 m. aplinkos apsaugos rėmimo specialiosios programos biudžeto išlaidos  </t>
  </si>
  <si>
    <t>savivaldybės sveikatos programoms vykdyti</t>
  </si>
  <si>
    <t>aplinkos apsaugos rėmimo programos priemonėms</t>
  </si>
  <si>
    <t>Iš jų pagal programas:</t>
  </si>
  <si>
    <t>08 programa</t>
  </si>
  <si>
    <t>(2020 m. balandžio __ d. sprendimo Nr. TS-___</t>
  </si>
  <si>
    <t>2.5 priedas</t>
  </si>
  <si>
    <t>Visagino savivaldybės 2020 m. lėšos iš specialios tikslinės dotacijos ir iš kitų dotacijų (valstybės biudžeto lėšų)</t>
  </si>
  <si>
    <t xml:space="preserve">Skirta  lėšų </t>
  </si>
  <si>
    <t>iš valstybės biudžeto lėšų tarpinstitucinio bendradarbiavimo koordinatoriaus pareigybei išlaikyti</t>
  </si>
  <si>
    <t>iš  Finansų ministerijos Europos Sąjungos ir kitos tarptautinės finansinės paramos programų ir projektų įgyvendinimo užtikrinimo programos lėšų projektui „Bendrabučio tipo pastato, esančio Visagine, Kosmoso g. 28, patalpų pritaikymas socialinio būsto įrengimui“ įgyvendinti</t>
  </si>
  <si>
    <t>iš  Finansų ministerijos Europos Sąjungos ir kitos tarptautinės finansinės paramos programų ir projektų įgyvendinimo užtikrinimo programos lėšų projektui „Apleisto (nenaudojamo) buvusio visuomeninio pastato konversija ir pritaikymas Savarankiško gyvenimo namų Visagine įkūrimui“ įgyvendinti</t>
  </si>
  <si>
    <t>iš valstybės biudžeto lėšų, skirtų rentgeno diagnostikos paslaugų kokybės gerinimo programai 2019 metais įgyvendinti</t>
  </si>
  <si>
    <t>iš  Finansų ministerijos Europos Sąjungos ir kitos tarptautinės finansinės paramos programų ir projektų įgyvendinimo užtikrinimo programos lėšų projektui „Komunalinių atliekų tvarkymo infrastruktūros plėtra Visagino savivaldybėje“ įgyvendinti</t>
  </si>
  <si>
    <t>iš  Finansų ministerijos Europos Sąjungos ir kitos tarptautinės finansinės paramos programų ir projektų įgyvendinimo užtikrinimo programos lėšų projektui „Apleistų / avarinių pastatų nugriovimas ir teritorijos valymas, regeneruojant buvusį karinį miestelį ir pritaikant kompleksą inovatyviai pramonei vystyti - SMART PARK įkūrimui“ įgyvendinti</t>
  </si>
  <si>
    <t>iš valstybės biudžeto lėšų pagal Valstybės investicijų 2019-2021 metų programą investicijų projektui „Irklavimo bazės Visagine, Visagino ežero pakrantėje, Parko g. 2K, įrengimas“ įgyvendinti</t>
  </si>
  <si>
    <t xml:space="preserve">iš valstybės biudžeto lėšų infrastruktūrai iki investuotojui suteikto sklypo ribų įrengti ir (ar) sutvarkyti </t>
  </si>
  <si>
    <t>iš  Finansų ministerijos Europos Sąjungos ir kitos tarptautinės finansinės paramos programų ir projektų įgyvendinimo užtikrinimo programos lėšų projektui „Inžinerinių paviršinių nuotekų surinkimo ir šalinimo tinklų rekonstravimas Visagino g. atkarpoje nuo Parko g. iki Vilties g.“ įgyvendinti</t>
  </si>
  <si>
    <t>iš  Finansų ministerijos Europos Sąjungos ir kitos tarptautinės finansinės paramos programų ir projektų įgyvendinimo užtikrinimo programos lėšų projektui „Vietinės reikšmės kelio Visagino-Parko-Sedulinos al. kvartale rekonstravimas ir kompleksinis aplinkos sutvarkymas“ įgyvendinti</t>
  </si>
  <si>
    <t>iš  Finansų ministerijos Europos Sąjungos ir kitos tarptautinės finansinės paramos programų ir projektų įgyvendinimo užtikrinimo programos lėšų projektui „Darnaus judumo infrastruktūros įrengimas Visagino mieste“ įgyvendinti</t>
  </si>
  <si>
    <t>iš specialios tikslinės dotacijos savivaldybėms vietinės reikšmės keliams (gatvėms) tiesti, taisyti, prižiūrėti ir saugaus eismo sąlygoms  užtikrinti</t>
  </si>
  <si>
    <t>iš valstybės biudžeto lėšų Visagino „Verdenės“ gimnazijos sporto aikštyno atnaujinimo darbams finansuoti</t>
  </si>
  <si>
    <t>iš valstybės biudžeto lėšų, skirtų išlaidoms, susijusioms su pedagoginių darbuotojų skaičiaus optimizavimu, apmokėti</t>
  </si>
  <si>
    <t>iš specialios tikslinės dotacijos mokykloms (klasėms), skirtoms mokiniams, turintiems specialiųjų ugdymosi poreikių, išlaikyti</t>
  </si>
  <si>
    <t xml:space="preserve">iš valstybės biudžeto lėšų, skirtų mokytojų, dirbančių pagal neformaliojo vaikų švietimo programas savivaldybių mokyklose, darbo apmokėjimui </t>
  </si>
  <si>
    <t xml:space="preserve">4. </t>
  </si>
  <si>
    <t>iš Finansų ministerijos Europos Sąjungos ir kitos tarptautinės finansinės paramos programų ir projektų įgyvendinimo užtikrinimo programos lėšų projektui „Buvusio Sedulinos mokyklos pastato pritaikymas Visagino kultūros centro ir bendruomenės reikmėms, įrengiant Kultūros, turizmo ir kūrybinio verslo miestą po vienu stogu“ įgyvendinti</t>
  </si>
  <si>
    <t>10 programa</t>
  </si>
  <si>
    <t>2.6 priedas</t>
  </si>
  <si>
    <t>Visagino savivaldybės 2020 m. lėšos iš Europos Sąjungos finansinės paramos lėšų</t>
  </si>
  <si>
    <t>Projektui „Paslaugų ir asmenų aptarnavimo kokybės gerinimas“ įgyvendinti</t>
  </si>
  <si>
    <t>Projektui „Neformaliojo vaikų švetimo paslaugų plėtra“ įgyvendinti</t>
  </si>
  <si>
    <t>Projektui  „Sportas kaip socialinio bendravimo forma su rizikos grupės paaugliais“ (LLI-402 „Sports for Social Inclusion of At-risk Teenagers“ (risk-free))“ įgyvendinti</t>
  </si>
  <si>
    <t>Projektui „Bendrabučio tipo pastato, esančio Kosmoso g. 28, Visagine, patalpų pritaikymas socialinio būsto įrengimui“ įgyvendinti</t>
  </si>
  <si>
    <t>Projektui  „Apleisto (nenaudojamo) buvusio visuomeninio pastato konversija ir pritaikymas Savarankiško gyvenimo namų Visagine įkūrimui“ įgyvendinti</t>
  </si>
  <si>
    <t>Projektui „Bendruomeniniai  šeimos namai“ įgyvendinti</t>
  </si>
  <si>
    <t>Projektui „Vaikų sveikatos gyvensenos skatinimas Visagino savivaldybėje“ įgyvendinti</t>
  </si>
  <si>
    <t>Projekto „Priklausomybės ligų profilaktikos, diagnostikos ir gydymo kokybės ir prieinamumo gerinimas Visagino savivaldybėje“ įgyvendinimas</t>
  </si>
  <si>
    <t>Projektui „Komunalinių atliekų tvarkymo infrastruktūros plėtra Visagino savivaldybėje“ įgyvendinti</t>
  </si>
  <si>
    <t>Projektui „Apleistų / avarinių pastatų nugriovimas ir teritorijos valymas, regeneruojant buvusį karinį miestelį ir pritaikant kompleksą inovatyviai pramonei vystyti - SMART PARK įkūrimui“ įgyvendinti</t>
  </si>
  <si>
    <t>Projektui „Transformacija iš griuvėsių į gražią erdvę“  (LLI-386 „Transformations from Slum to Chic“ (trans-form))“ įgyvendinti</t>
  </si>
  <si>
    <t>Projektui „Visagino darnaus judumo plano parengimas“ įgyvendinti</t>
  </si>
  <si>
    <t>Projektui „Visagino miesto energinio efektyvumo didinimo daugiabučiuose pastatuose programa – „Visagino EnerVizija“ įgyvendinti</t>
  </si>
  <si>
    <t>Projektui „Vietinės reikšmės kelio Visagino–Parko–Sedulinos al. kvartale rekonstravimas ir kompleksinis aplinkos sutvarkymas“ įgyvendinti</t>
  </si>
  <si>
    <t>Projektui „Elektromobilių įkrovimo prieigų tinklo kūrimas Visagino mieste“
įgyvendinti</t>
  </si>
  <si>
    <t>Projektui „Visagino miesto centralizuotos šildymo sistemos modernizavimas ir atnaujinimas“ įgyvendinti</t>
  </si>
  <si>
    <t>Projektui „Visagino savivaldybės viešųjų pastatų energijos efektyvumo didinimas (IV etapas)“ įgyvendinti</t>
  </si>
  <si>
    <t>Projektui „Pasiruošę verslui (Ready for Business)“ įgyvendinti</t>
  </si>
  <si>
    <t>Projektui „Sveikas gyvenimas – pirmieji žingsniai, kuriant harmoniją (Eco Life-First steps in creating harmony)“ įgyvendinti</t>
  </si>
  <si>
    <t>Projektui „Buvusios Sedulinos mokyklos pastato pritaikymas Visagino kultūros centro ir bendruomenės reikmėms, įrengiant Kultūros, turizmo ir kūrybinio verslo miestą po vienu stogu“  įgyvendinti</t>
  </si>
  <si>
    <t>Projektui „Integralios pagalbos namuose teikimo modelio sukūrimas Visagino savivaldybėje“  įgyvendinti</t>
  </si>
  <si>
    <t>Projektui „Vaikų gerovės ir saugumo didinimas, paslaugų šeimai, globėjams (rūpintojams) kokybės didinimas bei prieinamumo plėtra“  įgyvendinti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</si>
</sst>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0" x14ac:knownFonts="1">
    <font>
      <sz val="10"/>
      <name val="Arial"/>
      <charset val="186"/>
    </font>
    <font>
      <sz val="9"/>
      <name val="Times New Roman"/>
      <family val="1"/>
    </font>
    <font>
      <b/>
      <sz val="12"/>
      <name val="Times New Roman"/>
      <family val="1"/>
    </font>
    <font>
      <b/>
      <sz val="9"/>
      <name val="Times New Roman"/>
      <family val="1"/>
    </font>
    <font>
      <sz val="10"/>
      <name val="Times New Roman"/>
      <family val="1"/>
    </font>
    <font>
      <b/>
      <sz val="10"/>
      <name val="Times New Roman"/>
      <family val="1"/>
    </font>
    <font>
      <sz val="10"/>
      <name val="Times New Roman"/>
      <family val="1"/>
      <charset val="186"/>
    </font>
    <font>
      <b/>
      <sz val="10"/>
      <name val="Times New Roman"/>
      <family val="1"/>
      <charset val="186"/>
    </font>
    <font>
      <b/>
      <sz val="9"/>
      <name val="Times New Roman"/>
      <family val="1"/>
      <charset val="186"/>
    </font>
    <font>
      <b/>
      <i/>
      <sz val="10"/>
      <name val="Times New Roman"/>
      <family val="1"/>
      <charset val="186"/>
    </font>
    <font>
      <b/>
      <sz val="8"/>
      <name val="Times New Roman"/>
      <family val="1"/>
    </font>
    <font>
      <i/>
      <sz val="10"/>
      <name val="Times New Roman"/>
      <family val="1"/>
    </font>
    <font>
      <i/>
      <sz val="10"/>
      <name val="Times New Roman"/>
      <family val="1"/>
      <charset val="186"/>
    </font>
    <font>
      <b/>
      <sz val="10"/>
      <name val="Times New Roman"/>
      <family val="1"/>
      <charset val="204"/>
    </font>
    <font>
      <b/>
      <i/>
      <sz val="10"/>
      <name val="Times New Roman"/>
      <family val="1"/>
    </font>
    <font>
      <sz val="10"/>
      <name val="Arial"/>
      <family val="2"/>
      <charset val="186"/>
    </font>
    <font>
      <sz val="9"/>
      <name val="Times New Roman"/>
      <family val="1"/>
      <charset val="186"/>
    </font>
    <font>
      <i/>
      <sz val="12"/>
      <name val="Times New Roman"/>
      <family val="1"/>
    </font>
    <font>
      <b/>
      <sz val="8"/>
      <name val="Times New Roman"/>
      <family val="1"/>
      <charset val="186"/>
    </font>
    <font>
      <sz val="10"/>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0">
    <border>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protection locked="0"/>
    </xf>
  </cellStyleXfs>
  <cellXfs count="522">
    <xf numFmtId="0" fontId="0" fillId="0" borderId="0" xfId="0">
      <protection locked="0"/>
    </xf>
    <xf numFmtId="0" fontId="1" fillId="0" borderId="0" xfId="0" applyFont="1">
      <protection locked="0"/>
    </xf>
    <xf numFmtId="0" fontId="3" fillId="0" borderId="0" xfId="0" applyFont="1" applyAlignment="1">
      <alignment horizontal="center" vertical="center" wrapText="1"/>
      <protection locked="0"/>
    </xf>
    <xf numFmtId="0" fontId="3" fillId="0" borderId="0" xfId="0" applyFont="1" applyAlignment="1">
      <alignment horizontal="center" vertical="center"/>
      <protection locked="0"/>
    </xf>
    <xf numFmtId="0" fontId="3" fillId="0" borderId="0" xfId="0" applyFont="1">
      <protection locked="0"/>
    </xf>
    <xf numFmtId="0" fontId="5" fillId="0" borderId="0" xfId="0" applyFont="1">
      <protection locked="0"/>
    </xf>
    <xf numFmtId="164" fontId="4" fillId="0" borderId="1" xfId="0" applyNumberFormat="1" applyFont="1" applyBorder="1" applyAlignment="1">
      <alignment wrapText="1"/>
      <protection locked="0"/>
    </xf>
    <xf numFmtId="164" fontId="7" fillId="0" borderId="1" xfId="0" applyNumberFormat="1" applyFont="1" applyBorder="1" applyAlignment="1">
      <alignment wrapText="1"/>
      <protection locked="0"/>
    </xf>
    <xf numFmtId="165" fontId="1" fillId="0" borderId="0" xfId="0" applyNumberFormat="1" applyFont="1">
      <protection locked="0"/>
    </xf>
    <xf numFmtId="0" fontId="1" fillId="0" borderId="0" xfId="0" applyFont="1" applyAlignment="1">
      <alignment horizontal="center"/>
      <protection locked="0"/>
    </xf>
    <xf numFmtId="164" fontId="1" fillId="0" borderId="0" xfId="0" applyNumberFormat="1" applyFont="1">
      <protection locked="0"/>
    </xf>
    <xf numFmtId="164" fontId="7" fillId="0" borderId="6" xfId="0" applyNumberFormat="1" applyFont="1" applyBorder="1" applyAlignment="1">
      <alignment wrapText="1"/>
      <protection locked="0"/>
    </xf>
    <xf numFmtId="0" fontId="8" fillId="0" borderId="3" xfId="0" applyFont="1" applyBorder="1" applyAlignment="1">
      <alignment horizontal="center"/>
      <protection locked="0"/>
    </xf>
    <xf numFmtId="0" fontId="1" fillId="0" borderId="0" xfId="0" applyFont="1" applyAlignment="1">
      <alignment horizontal="center" vertical="center"/>
      <protection locked="0"/>
    </xf>
    <xf numFmtId="165" fontId="1" fillId="0" borderId="0" xfId="0" applyNumberFormat="1" applyFont="1" applyAlignment="1">
      <alignment horizontal="right"/>
      <protection locked="0"/>
    </xf>
    <xf numFmtId="164" fontId="4" fillId="0" borderId="6" xfId="0" applyNumberFormat="1" applyFont="1" applyBorder="1" applyAlignment="1">
      <alignment wrapText="1"/>
      <protection locked="0"/>
    </xf>
    <xf numFmtId="0" fontId="3" fillId="0" borderId="0" xfId="0" applyFont="1" applyAlignment="1">
      <alignment vertical="center"/>
      <protection locked="0"/>
    </xf>
    <xf numFmtId="0" fontId="1" fillId="0" borderId="29" xfId="0" applyFont="1" applyBorder="1" applyAlignment="1">
      <alignment horizontal="center" vertical="center"/>
      <protection locked="0"/>
    </xf>
    <xf numFmtId="0" fontId="1" fillId="0" borderId="32" xfId="0" applyFont="1" applyBorder="1" applyAlignment="1">
      <alignment vertical="top"/>
      <protection locked="0"/>
    </xf>
    <xf numFmtId="0" fontId="4" fillId="0" borderId="30" xfId="0" applyFont="1" applyBorder="1" applyAlignment="1">
      <alignment vertical="top"/>
      <protection locked="0"/>
    </xf>
    <xf numFmtId="0" fontId="1" fillId="0" borderId="6" xfId="0" applyFont="1" applyBorder="1" applyAlignment="1">
      <alignment vertical="top"/>
      <protection locked="0"/>
    </xf>
    <xf numFmtId="0" fontId="1" fillId="0" borderId="1" xfId="0" applyFont="1" applyBorder="1" applyAlignment="1">
      <alignment vertical="top"/>
      <protection locked="0"/>
    </xf>
    <xf numFmtId="0" fontId="1" fillId="0" borderId="7" xfId="0" applyFont="1" applyBorder="1" applyAlignment="1">
      <alignment vertical="top"/>
      <protection locked="0"/>
    </xf>
    <xf numFmtId="0" fontId="4" fillId="0" borderId="40" xfId="0" applyFont="1" applyBorder="1" applyAlignment="1">
      <alignment horizontal="left" vertical="center"/>
      <protection locked="0"/>
    </xf>
    <xf numFmtId="0" fontId="5" fillId="0" borderId="31" xfId="0" applyFont="1" applyBorder="1" applyAlignment="1">
      <alignment horizontal="center"/>
      <protection locked="0"/>
    </xf>
    <xf numFmtId="0" fontId="5" fillId="0" borderId="1" xfId="0" applyFont="1" applyBorder="1" applyAlignment="1">
      <alignment horizontal="center"/>
      <protection locked="0"/>
    </xf>
    <xf numFmtId="0" fontId="5" fillId="0" borderId="47" xfId="0" applyFont="1" applyBorder="1" applyAlignment="1">
      <alignment horizontal="center"/>
      <protection locked="0"/>
    </xf>
    <xf numFmtId="164" fontId="5" fillId="0" borderId="43" xfId="0" applyNumberFormat="1" applyFont="1" applyBorder="1">
      <protection locked="0"/>
    </xf>
    <xf numFmtId="164" fontId="11" fillId="0" borderId="6" xfId="0" applyNumberFormat="1" applyFont="1" applyBorder="1" applyAlignment="1">
      <alignment horizontal="left" vertical="center" wrapText="1"/>
      <protection locked="0"/>
    </xf>
    <xf numFmtId="165" fontId="1" fillId="0" borderId="53" xfId="0" applyNumberFormat="1" applyFont="1" applyBorder="1">
      <protection locked="0"/>
    </xf>
    <xf numFmtId="0" fontId="5" fillId="0" borderId="16" xfId="0" applyFont="1" applyBorder="1" applyAlignment="1">
      <alignment horizontal="center"/>
      <protection locked="0"/>
    </xf>
    <xf numFmtId="0" fontId="1" fillId="0" borderId="5" xfId="0" applyFont="1" applyBorder="1" applyAlignment="1">
      <alignment horizontal="center" vertical="center" wrapText="1"/>
      <protection locked="0"/>
    </xf>
    <xf numFmtId="1" fontId="1" fillId="0" borderId="7" xfId="0" applyNumberFormat="1" applyFont="1" applyBorder="1" applyAlignment="1">
      <alignment horizontal="center" vertical="center" wrapText="1"/>
      <protection locked="0"/>
    </xf>
    <xf numFmtId="1" fontId="1" fillId="0" borderId="12" xfId="0" applyNumberFormat="1" applyFont="1" applyBorder="1" applyAlignment="1">
      <alignment horizontal="center" vertical="center"/>
      <protection locked="0"/>
    </xf>
    <xf numFmtId="1" fontId="1" fillId="0" borderId="9" xfId="0" applyNumberFormat="1" applyFont="1" applyBorder="1" applyAlignment="1">
      <alignment horizontal="center" vertical="center"/>
      <protection locked="0"/>
    </xf>
    <xf numFmtId="1" fontId="1" fillId="0" borderId="8" xfId="0" applyNumberFormat="1" applyFont="1" applyBorder="1" applyAlignment="1">
      <alignment horizontal="center" vertical="center" wrapText="1"/>
      <protection locked="0"/>
    </xf>
    <xf numFmtId="0" fontId="1" fillId="0" borderId="15" xfId="0" applyFont="1" applyBorder="1" applyAlignment="1">
      <alignment horizontal="center" vertical="center" wrapText="1"/>
      <protection locked="0"/>
    </xf>
    <xf numFmtId="164" fontId="5" fillId="0" borderId="1" xfId="0" applyNumberFormat="1" applyFont="1" applyBorder="1" applyAlignment="1">
      <alignment wrapText="1"/>
      <protection locked="0"/>
    </xf>
    <xf numFmtId="49" fontId="4" fillId="0" borderId="6" xfId="0" applyNumberFormat="1" applyFont="1" applyBorder="1" applyAlignment="1">
      <alignment horizontal="center" vertical="center"/>
      <protection locked="0"/>
    </xf>
    <xf numFmtId="0" fontId="1" fillId="0" borderId="6" xfId="0" applyFont="1" applyBorder="1" applyAlignment="1">
      <alignment horizontal="center" vertical="center" wrapText="1"/>
      <protection locked="0"/>
    </xf>
    <xf numFmtId="49" fontId="4" fillId="0" borderId="6" xfId="0" applyNumberFormat="1" applyFont="1" applyBorder="1" applyAlignment="1">
      <alignment horizontal="center"/>
      <protection locked="0"/>
    </xf>
    <xf numFmtId="164" fontId="11" fillId="0" borderId="1" xfId="0" applyNumberFormat="1" applyFont="1" applyBorder="1" applyAlignment="1">
      <alignment wrapText="1"/>
      <protection locked="0"/>
    </xf>
    <xf numFmtId="0" fontId="1" fillId="0" borderId="15" xfId="0" applyFont="1" applyBorder="1" applyAlignment="1">
      <alignment horizontal="center"/>
      <protection locked="0"/>
    </xf>
    <xf numFmtId="164" fontId="5" fillId="0" borderId="6" xfId="0" applyNumberFormat="1" applyFont="1" applyBorder="1" applyAlignment="1">
      <alignment wrapText="1"/>
      <protection locked="0"/>
    </xf>
    <xf numFmtId="0" fontId="1" fillId="0" borderId="6" xfId="0" applyFont="1" applyBorder="1" applyAlignment="1">
      <alignment horizontal="center"/>
      <protection locked="0"/>
    </xf>
    <xf numFmtId="0" fontId="1" fillId="0" borderId="31" xfId="0" applyFont="1" applyBorder="1" applyAlignment="1">
      <alignment horizontal="center"/>
      <protection locked="0"/>
    </xf>
    <xf numFmtId="49" fontId="4" fillId="0" borderId="3" xfId="0" applyNumberFormat="1" applyFont="1" applyBorder="1" applyAlignment="1">
      <alignment horizontal="center" vertical="center"/>
      <protection locked="0"/>
    </xf>
    <xf numFmtId="164" fontId="11" fillId="0" borderId="3" xfId="0" applyNumberFormat="1" applyFont="1" applyBorder="1" applyAlignment="1">
      <alignment vertical="center" wrapText="1"/>
      <protection locked="0"/>
    </xf>
    <xf numFmtId="49" fontId="4" fillId="0" borderId="6" xfId="0" applyNumberFormat="1" applyFont="1" applyBorder="1" applyAlignment="1">
      <alignment horizontal="center" vertical="center" wrapText="1"/>
      <protection locked="0"/>
    </xf>
    <xf numFmtId="49" fontId="11" fillId="0" borderId="6" xfId="0" applyNumberFormat="1" applyFont="1" applyBorder="1" applyAlignment="1">
      <alignment horizontal="center" vertical="center"/>
      <protection locked="0"/>
    </xf>
    <xf numFmtId="0" fontId="1" fillId="0" borderId="3" xfId="0" applyFont="1" applyBorder="1" applyAlignment="1">
      <alignment horizontal="center"/>
      <protection locked="0"/>
    </xf>
    <xf numFmtId="0" fontId="3" fillId="0" borderId="3" xfId="0" applyFont="1" applyBorder="1" applyAlignment="1">
      <alignment horizontal="center"/>
      <protection locked="0"/>
    </xf>
    <xf numFmtId="49" fontId="4" fillId="0" borderId="1" xfId="0" applyNumberFormat="1" applyFont="1" applyBorder="1" applyAlignment="1">
      <alignment horizontal="center" vertical="center" wrapText="1"/>
      <protection locked="0"/>
    </xf>
    <xf numFmtId="0" fontId="1" fillId="0" borderId="1" xfId="0" applyFont="1" applyBorder="1" applyAlignment="1">
      <alignment horizontal="center"/>
      <protection locked="0"/>
    </xf>
    <xf numFmtId="0" fontId="1" fillId="0" borderId="14" xfId="0" applyFont="1" applyBorder="1" applyAlignment="1">
      <alignment horizontal="center"/>
      <protection locked="0"/>
    </xf>
    <xf numFmtId="0" fontId="3" fillId="0" borderId="1" xfId="0" applyFont="1" applyBorder="1" applyAlignment="1">
      <alignment horizontal="center"/>
      <protection locked="0"/>
    </xf>
    <xf numFmtId="164" fontId="11" fillId="0" borderId="1" xfId="0" applyNumberFormat="1" applyFont="1" applyBorder="1" applyAlignment="1">
      <alignment horizontal="left" vertical="center" wrapText="1"/>
      <protection locked="0"/>
    </xf>
    <xf numFmtId="164" fontId="5" fillId="0" borderId="16" xfId="0" applyNumberFormat="1" applyFont="1" applyBorder="1" applyAlignment="1">
      <alignment wrapText="1"/>
      <protection locked="0"/>
    </xf>
    <xf numFmtId="49" fontId="1" fillId="0" borderId="15" xfId="0" applyNumberFormat="1" applyFont="1" applyBorder="1" applyAlignment="1">
      <alignment horizontal="center"/>
      <protection locked="0"/>
    </xf>
    <xf numFmtId="164" fontId="11" fillId="0" borderId="3" xfId="0" applyNumberFormat="1" applyFont="1" applyBorder="1" applyAlignment="1">
      <alignment wrapText="1"/>
      <protection locked="0"/>
    </xf>
    <xf numFmtId="164" fontId="5" fillId="0" borderId="1" xfId="0" applyNumberFormat="1" applyFont="1" applyBorder="1" applyAlignment="1">
      <alignment horizontal="left" wrapText="1"/>
      <protection locked="0"/>
    </xf>
    <xf numFmtId="49" fontId="4" fillId="0" borderId="1" xfId="0" applyNumberFormat="1" applyFont="1" applyBorder="1" applyAlignment="1">
      <alignment horizontal="center" wrapText="1"/>
      <protection locked="0"/>
    </xf>
    <xf numFmtId="49" fontId="1" fillId="0" borderId="3" xfId="0" applyNumberFormat="1" applyFont="1" applyBorder="1" applyAlignment="1">
      <alignment horizontal="center"/>
      <protection locked="0"/>
    </xf>
    <xf numFmtId="0" fontId="3" fillId="0" borderId="14" xfId="0" applyFont="1" applyBorder="1" applyAlignment="1">
      <alignment horizontal="center"/>
      <protection locked="0"/>
    </xf>
    <xf numFmtId="49" fontId="4" fillId="0" borderId="31" xfId="0" applyNumberFormat="1" applyFont="1" applyBorder="1" applyAlignment="1">
      <alignment horizontal="center"/>
      <protection locked="0"/>
    </xf>
    <xf numFmtId="164" fontId="11" fillId="0" borderId="16" xfId="0" applyNumberFormat="1" applyFont="1" applyBorder="1" applyAlignment="1">
      <alignment wrapText="1"/>
      <protection locked="0"/>
    </xf>
    <xf numFmtId="49" fontId="4" fillId="0" borderId="31" xfId="0" applyNumberFormat="1" applyFont="1" applyBorder="1" applyAlignment="1">
      <alignment horizontal="center" vertical="center"/>
      <protection locked="0"/>
    </xf>
    <xf numFmtId="164" fontId="4" fillId="0" borderId="40" xfId="0" applyNumberFormat="1" applyFont="1" applyBorder="1">
      <protection locked="0"/>
    </xf>
    <xf numFmtId="164" fontId="5" fillId="0" borderId="3" xfId="0" applyNumberFormat="1" applyFont="1" applyBorder="1" applyAlignment="1">
      <alignment horizontal="center" vertical="center"/>
      <protection locked="0"/>
    </xf>
    <xf numFmtId="164" fontId="4" fillId="0" borderId="53" xfId="0" applyNumberFormat="1" applyFont="1" applyBorder="1">
      <protection locked="0"/>
    </xf>
    <xf numFmtId="164" fontId="5" fillId="0" borderId="14" xfId="0" applyNumberFormat="1" applyFont="1" applyBorder="1" applyAlignment="1">
      <alignment horizontal="center" vertical="center"/>
      <protection locked="0"/>
    </xf>
    <xf numFmtId="164" fontId="11" fillId="0" borderId="17" xfId="0" applyNumberFormat="1" applyFont="1" applyBorder="1" applyAlignment="1">
      <alignment vertical="center" wrapText="1"/>
      <protection locked="0"/>
    </xf>
    <xf numFmtId="0" fontId="11" fillId="0" borderId="17" xfId="0" applyFont="1" applyBorder="1" applyAlignment="1">
      <alignment vertical="center"/>
      <protection locked="0"/>
    </xf>
    <xf numFmtId="0" fontId="11" fillId="0" borderId="17" xfId="0" applyFont="1" applyBorder="1" applyAlignment="1">
      <alignment vertical="center" wrapText="1"/>
      <protection locked="0"/>
    </xf>
    <xf numFmtId="0" fontId="11" fillId="0" borderId="41" xfId="0" applyFont="1" applyBorder="1" applyAlignment="1">
      <alignment vertical="center"/>
      <protection locked="0"/>
    </xf>
    <xf numFmtId="164" fontId="5" fillId="0" borderId="47" xfId="0" applyNumberFormat="1" applyFont="1" applyBorder="1" applyAlignment="1">
      <alignment horizontal="center" vertical="center"/>
      <protection locked="0"/>
    </xf>
    <xf numFmtId="1" fontId="1" fillId="0" borderId="34" xfId="0" applyNumberFormat="1" applyFont="1" applyBorder="1" applyAlignment="1">
      <alignment horizontal="center" vertical="center"/>
      <protection locked="0"/>
    </xf>
    <xf numFmtId="0" fontId="5" fillId="0" borderId="6" xfId="0" applyFont="1" applyBorder="1" applyAlignment="1">
      <alignment horizontal="center"/>
      <protection locked="0"/>
    </xf>
    <xf numFmtId="164" fontId="4" fillId="0" borderId="4" xfId="0" applyNumberFormat="1" applyFont="1" applyBorder="1">
      <protection locked="0"/>
    </xf>
    <xf numFmtId="164" fontId="5" fillId="0" borderId="15" xfId="0" applyNumberFormat="1" applyFont="1" applyBorder="1" applyAlignment="1">
      <alignment horizontal="center" vertical="center"/>
      <protection locked="0"/>
    </xf>
    <xf numFmtId="0" fontId="5" fillId="0" borderId="43" xfId="0" applyFont="1" applyBorder="1" applyAlignment="1">
      <alignment horizontal="center"/>
      <protection locked="0"/>
    </xf>
    <xf numFmtId="165" fontId="6" fillId="0" borderId="40" xfId="0" applyNumberFormat="1" applyFont="1" applyBorder="1" applyAlignment="1" applyProtection="1">
      <alignment horizontal="center" vertical="center"/>
    </xf>
    <xf numFmtId="165" fontId="6" fillId="0" borderId="21" xfId="0" applyNumberFormat="1" applyFont="1" applyBorder="1" applyAlignment="1" applyProtection="1">
      <alignment horizontal="center" vertical="center"/>
    </xf>
    <xf numFmtId="165" fontId="6" fillId="0" borderId="22" xfId="0" applyNumberFormat="1" applyFont="1" applyBorder="1" applyAlignment="1" applyProtection="1">
      <alignment horizontal="center" vertical="center"/>
    </xf>
    <xf numFmtId="165" fontId="6" fillId="0" borderId="23" xfId="0" applyNumberFormat="1" applyFont="1" applyBorder="1" applyAlignment="1" applyProtection="1">
      <alignment horizontal="center" vertical="center"/>
    </xf>
    <xf numFmtId="165" fontId="6" fillId="0" borderId="53" xfId="0" applyNumberFormat="1" applyFont="1" applyBorder="1" applyAlignment="1" applyProtection="1">
      <alignment horizontal="center" vertical="center"/>
    </xf>
    <xf numFmtId="165" fontId="6" fillId="0" borderId="56" xfId="0" applyNumberFormat="1" applyFont="1" applyBorder="1" applyAlignment="1" applyProtection="1">
      <alignment horizontal="center" vertical="center"/>
    </xf>
    <xf numFmtId="165" fontId="6" fillId="0" borderId="52" xfId="0" applyNumberFormat="1" applyFont="1" applyBorder="1" applyAlignment="1" applyProtection="1">
      <alignment horizontal="center" vertical="center"/>
    </xf>
    <xf numFmtId="165" fontId="6" fillId="0" borderId="37" xfId="0" applyNumberFormat="1" applyFont="1" applyBorder="1" applyAlignment="1" applyProtection="1">
      <alignment horizontal="center" vertical="center"/>
    </xf>
    <xf numFmtId="165" fontId="6" fillId="0" borderId="18" xfId="0" applyNumberFormat="1" applyFont="1" applyBorder="1" applyAlignment="1" applyProtection="1">
      <alignment horizontal="center" vertical="center"/>
    </xf>
    <xf numFmtId="165" fontId="6" fillId="0" borderId="19" xfId="0" applyNumberFormat="1" applyFont="1" applyBorder="1" applyAlignment="1" applyProtection="1">
      <alignment horizontal="center" vertical="center"/>
    </xf>
    <xf numFmtId="165" fontId="6" fillId="0" borderId="20" xfId="0" applyNumberFormat="1" applyFont="1" applyBorder="1" applyAlignment="1" applyProtection="1">
      <alignment horizontal="center" vertical="center"/>
    </xf>
    <xf numFmtId="165" fontId="6" fillId="0" borderId="38" xfId="0" applyNumberFormat="1" applyFont="1" applyBorder="1" applyAlignment="1" applyProtection="1">
      <alignment horizontal="center" vertical="center"/>
    </xf>
    <xf numFmtId="165" fontId="6" fillId="0" borderId="11" xfId="0" applyNumberFormat="1" applyFont="1" applyBorder="1" applyAlignment="1" applyProtection="1">
      <alignment horizontal="center" vertical="center"/>
    </xf>
    <xf numFmtId="165" fontId="6" fillId="0" borderId="13" xfId="0" applyNumberFormat="1" applyFont="1" applyBorder="1" applyAlignment="1" applyProtection="1">
      <alignment horizontal="center" vertical="center"/>
    </xf>
    <xf numFmtId="165" fontId="7" fillId="0" borderId="40" xfId="0" applyNumberFormat="1" applyFont="1" applyBorder="1" applyAlignment="1" applyProtection="1">
      <alignment horizontal="center" vertical="center"/>
    </xf>
    <xf numFmtId="165" fontId="7" fillId="0" borderId="21" xfId="0" applyNumberFormat="1" applyFont="1" applyBorder="1" applyAlignment="1" applyProtection="1">
      <alignment horizontal="center" vertical="center"/>
    </xf>
    <xf numFmtId="165" fontId="7" fillId="0" borderId="22" xfId="0" applyNumberFormat="1" applyFont="1" applyBorder="1" applyAlignment="1" applyProtection="1">
      <alignment horizontal="center" vertical="center"/>
    </xf>
    <xf numFmtId="165" fontId="7" fillId="0" borderId="23" xfId="0" applyNumberFormat="1" applyFont="1" applyBorder="1" applyAlignment="1" applyProtection="1">
      <alignment horizontal="center" vertical="center"/>
    </xf>
    <xf numFmtId="165" fontId="9" fillId="0" borderId="40" xfId="0" applyNumberFormat="1" applyFont="1" applyBorder="1" applyAlignment="1" applyProtection="1">
      <alignment horizontal="center" vertical="center"/>
    </xf>
    <xf numFmtId="165" fontId="9" fillId="0" borderId="21" xfId="0" applyNumberFormat="1" applyFont="1" applyBorder="1" applyAlignment="1" applyProtection="1">
      <alignment horizontal="center" vertical="center"/>
    </xf>
    <xf numFmtId="165" fontId="9" fillId="0" borderId="22" xfId="0" applyNumberFormat="1" applyFont="1" applyBorder="1" applyAlignment="1" applyProtection="1">
      <alignment horizontal="center" vertical="center"/>
    </xf>
    <xf numFmtId="165" fontId="9" fillId="0" borderId="23" xfId="0" applyNumberFormat="1" applyFont="1" applyBorder="1" applyAlignment="1" applyProtection="1">
      <alignment horizontal="center" vertical="center"/>
    </xf>
    <xf numFmtId="165" fontId="7" fillId="0" borderId="46" xfId="0" applyNumberFormat="1" applyFont="1" applyBorder="1" applyAlignment="1" applyProtection="1">
      <alignment horizontal="center" vertical="center"/>
    </xf>
    <xf numFmtId="165" fontId="7" fillId="0" borderId="54" xfId="0" applyNumberFormat="1" applyFont="1" applyBorder="1" applyAlignment="1" applyProtection="1">
      <alignment horizontal="center" vertical="center"/>
    </xf>
    <xf numFmtId="165" fontId="7" fillId="0" borderId="50" xfId="0" applyNumberFormat="1" applyFont="1" applyBorder="1" applyAlignment="1" applyProtection="1">
      <alignment horizontal="center" vertical="center"/>
    </xf>
    <xf numFmtId="165" fontId="7" fillId="0" borderId="51" xfId="0" applyNumberFormat="1" applyFont="1" applyBorder="1" applyAlignment="1" applyProtection="1">
      <alignment horizontal="center" vertical="center"/>
    </xf>
    <xf numFmtId="165" fontId="7" fillId="0" borderId="0" xfId="0" applyNumberFormat="1" applyFont="1" applyAlignment="1" applyProtection="1">
      <alignment horizontal="center" vertical="center"/>
    </xf>
    <xf numFmtId="165" fontId="7" fillId="0" borderId="48" xfId="0" applyNumberFormat="1" applyFont="1" applyBorder="1" applyAlignment="1" applyProtection="1">
      <alignment horizontal="center" vertical="center"/>
    </xf>
    <xf numFmtId="165" fontId="7" fillId="0" borderId="49" xfId="0" applyNumberFormat="1" applyFont="1" applyBorder="1" applyAlignment="1" applyProtection="1">
      <alignment horizontal="center" vertical="center"/>
    </xf>
    <xf numFmtId="165" fontId="7" fillId="0" borderId="26" xfId="0" applyNumberFormat="1" applyFont="1" applyBorder="1" applyAlignment="1" applyProtection="1">
      <alignment horizontal="center" vertical="center"/>
    </xf>
    <xf numFmtId="165" fontId="12" fillId="0" borderId="40" xfId="0" applyNumberFormat="1" applyFont="1" applyBorder="1" applyAlignment="1" applyProtection="1">
      <alignment horizontal="center" vertical="center"/>
    </xf>
    <xf numFmtId="165" fontId="12" fillId="0" borderId="21" xfId="0" applyNumberFormat="1" applyFont="1" applyBorder="1" applyAlignment="1" applyProtection="1">
      <alignment horizontal="center" vertical="center"/>
    </xf>
    <xf numFmtId="165" fontId="12" fillId="0" borderId="22" xfId="0" applyNumberFormat="1" applyFont="1" applyBorder="1" applyAlignment="1" applyProtection="1">
      <alignment horizontal="center" vertical="center"/>
    </xf>
    <xf numFmtId="165" fontId="12" fillId="0" borderId="23" xfId="0" applyNumberFormat="1" applyFont="1" applyBorder="1" applyAlignment="1" applyProtection="1">
      <alignment horizontal="center" vertical="center"/>
    </xf>
    <xf numFmtId="0" fontId="4" fillId="0" borderId="33" xfId="0" applyFont="1" applyBorder="1" applyAlignment="1">
      <alignment horizontal="left" vertical="center"/>
      <protection locked="0"/>
    </xf>
    <xf numFmtId="1" fontId="1" fillId="0" borderId="5" xfId="0" applyNumberFormat="1" applyFont="1" applyBorder="1" applyAlignment="1">
      <alignment horizontal="center" vertical="center" wrapText="1"/>
      <protection locked="0"/>
    </xf>
    <xf numFmtId="49" fontId="5" fillId="0" borderId="15" xfId="0" applyNumberFormat="1" applyFont="1" applyBorder="1" applyAlignment="1">
      <alignment horizontal="center" vertical="center"/>
      <protection locked="0"/>
    </xf>
    <xf numFmtId="49" fontId="11" fillId="0" borderId="15" xfId="0" applyNumberFormat="1" applyFont="1" applyBorder="1" applyAlignment="1">
      <alignment horizontal="center" vertical="center"/>
      <protection locked="0"/>
    </xf>
    <xf numFmtId="49" fontId="4" fillId="0" borderId="3" xfId="0" applyNumberFormat="1" applyFont="1" applyBorder="1" applyAlignment="1">
      <alignment horizontal="center" vertical="center" wrapText="1"/>
      <protection locked="0"/>
    </xf>
    <xf numFmtId="49" fontId="5" fillId="0" borderId="3" xfId="0" applyNumberFormat="1" applyFont="1" applyBorder="1" applyAlignment="1">
      <alignment horizontal="center" vertical="center" wrapText="1"/>
      <protection locked="0"/>
    </xf>
    <xf numFmtId="49" fontId="4" fillId="0" borderId="3" xfId="0" applyNumberFormat="1" applyFont="1" applyBorder="1" applyAlignment="1">
      <alignment horizontal="center" wrapText="1"/>
      <protection locked="0"/>
    </xf>
    <xf numFmtId="49" fontId="4" fillId="0" borderId="14" xfId="0" applyNumberFormat="1" applyFont="1" applyBorder="1" applyAlignment="1">
      <alignment horizontal="center" vertical="center" wrapText="1"/>
      <protection locked="0"/>
    </xf>
    <xf numFmtId="164" fontId="5" fillId="0" borderId="42" xfId="0" applyNumberFormat="1" applyFont="1" applyBorder="1" applyAlignment="1">
      <alignment horizontal="center" vertical="center"/>
      <protection locked="0"/>
    </xf>
    <xf numFmtId="164" fontId="5" fillId="0" borderId="17" xfId="0" applyNumberFormat="1" applyFont="1" applyBorder="1" applyAlignment="1">
      <alignment horizontal="center" vertical="center"/>
      <protection locked="0"/>
    </xf>
    <xf numFmtId="164" fontId="5" fillId="0" borderId="55" xfId="0" applyNumberFormat="1" applyFont="1" applyBorder="1" applyAlignment="1">
      <alignment horizontal="center" vertical="center"/>
      <protection locked="0"/>
    </xf>
    <xf numFmtId="0" fontId="1" fillId="0" borderId="39" xfId="0" applyFont="1" applyBorder="1" applyAlignment="1">
      <alignment horizontal="center" vertical="center"/>
      <protection locked="0"/>
    </xf>
    <xf numFmtId="165" fontId="6" fillId="0" borderId="22" xfId="0" applyNumberFormat="1" applyFont="1" applyFill="1" applyBorder="1" applyAlignment="1" applyProtection="1">
      <alignment horizontal="center" vertical="center"/>
    </xf>
    <xf numFmtId="164" fontId="11" fillId="0" borderId="14" xfId="0" applyNumberFormat="1" applyFont="1" applyBorder="1" applyAlignment="1">
      <alignment horizontal="left" vertical="center" wrapText="1"/>
      <protection locked="0"/>
    </xf>
    <xf numFmtId="164" fontId="11" fillId="0" borderId="15" xfId="0" applyNumberFormat="1" applyFont="1" applyBorder="1" applyAlignment="1">
      <alignment horizontal="left" vertical="center" wrapText="1"/>
      <protection locked="0"/>
    </xf>
    <xf numFmtId="49" fontId="4" fillId="0" borderId="14" xfId="0" applyNumberFormat="1" applyFont="1" applyBorder="1" applyAlignment="1">
      <alignment horizontal="center" vertical="center"/>
      <protection locked="0"/>
    </xf>
    <xf numFmtId="49" fontId="4" fillId="0" borderId="15" xfId="0" applyNumberFormat="1" applyFont="1" applyBorder="1" applyAlignment="1">
      <alignment horizontal="center" vertical="center"/>
      <protection locked="0"/>
    </xf>
    <xf numFmtId="49" fontId="4" fillId="0" borderId="25" xfId="0" applyNumberFormat="1" applyFont="1" applyBorder="1" applyAlignment="1">
      <alignment horizontal="center" vertical="center"/>
      <protection locked="0"/>
    </xf>
    <xf numFmtId="49" fontId="1" fillId="0" borderId="3" xfId="0" applyNumberFormat="1" applyFont="1" applyBorder="1" applyAlignment="1">
      <alignment horizontal="center" vertical="center"/>
      <protection locked="0"/>
    </xf>
    <xf numFmtId="164" fontId="11" fillId="0" borderId="3" xfId="0" applyNumberFormat="1" applyFont="1" applyBorder="1" applyAlignment="1">
      <alignment horizontal="left" vertical="center" wrapText="1"/>
      <protection locked="0"/>
    </xf>
    <xf numFmtId="164" fontId="11" fillId="0" borderId="14" xfId="0" applyNumberFormat="1" applyFont="1" applyBorder="1" applyAlignment="1">
      <alignment vertical="center" wrapText="1"/>
      <protection locked="0"/>
    </xf>
    <xf numFmtId="49" fontId="1" fillId="0" borderId="14" xfId="0" applyNumberFormat="1" applyFont="1" applyBorder="1" applyAlignment="1">
      <alignment horizontal="center" vertical="center"/>
      <protection locked="0"/>
    </xf>
    <xf numFmtId="49" fontId="1" fillId="0" borderId="15" xfId="0" applyNumberFormat="1" applyFont="1" applyBorder="1" applyAlignment="1">
      <alignment horizontal="center" vertical="center"/>
      <protection locked="0"/>
    </xf>
    <xf numFmtId="165" fontId="2" fillId="0" borderId="0" xfId="0" applyNumberFormat="1" applyFont="1" applyAlignment="1">
      <alignment horizontal="center"/>
      <protection locked="0"/>
    </xf>
    <xf numFmtId="164" fontId="5" fillId="0" borderId="43" xfId="0" applyNumberFormat="1" applyFont="1" applyBorder="1" applyAlignment="1">
      <alignment horizontal="center" vertical="center"/>
      <protection locked="0"/>
    </xf>
    <xf numFmtId="49" fontId="5" fillId="0" borderId="6" xfId="0" applyNumberFormat="1" applyFont="1" applyBorder="1" applyAlignment="1">
      <alignment horizontal="center" vertical="center"/>
      <protection locked="0"/>
    </xf>
    <xf numFmtId="165" fontId="4" fillId="0" borderId="40" xfId="0" applyNumberFormat="1" applyFont="1" applyBorder="1" applyAlignment="1" applyProtection="1">
      <alignment horizontal="center" vertical="center"/>
    </xf>
    <xf numFmtId="165" fontId="4" fillId="0" borderId="21" xfId="0" applyNumberFormat="1" applyFont="1" applyBorder="1" applyAlignment="1" applyProtection="1">
      <alignment horizontal="center" vertical="center"/>
    </xf>
    <xf numFmtId="165" fontId="4" fillId="0" borderId="22" xfId="0" applyNumberFormat="1" applyFont="1" applyBorder="1" applyAlignment="1" applyProtection="1">
      <alignment horizontal="center" vertical="center"/>
    </xf>
    <xf numFmtId="165" fontId="4" fillId="0" borderId="23" xfId="0" applyNumberFormat="1" applyFont="1" applyBorder="1" applyAlignment="1" applyProtection="1">
      <alignment horizontal="center" vertical="center"/>
    </xf>
    <xf numFmtId="164" fontId="14" fillId="0" borderId="1" xfId="0" applyNumberFormat="1" applyFont="1" applyBorder="1" applyAlignment="1">
      <alignment wrapText="1"/>
      <protection locked="0"/>
    </xf>
    <xf numFmtId="49" fontId="14" fillId="0" borderId="6" xfId="0" applyNumberFormat="1" applyFont="1" applyBorder="1" applyAlignment="1">
      <alignment horizontal="center" vertical="center"/>
      <protection locked="0"/>
    </xf>
    <xf numFmtId="49" fontId="14" fillId="0" borderId="15" xfId="0" applyNumberFormat="1" applyFont="1" applyBorder="1" applyAlignment="1">
      <alignment horizontal="center" vertical="center"/>
      <protection locked="0"/>
    </xf>
    <xf numFmtId="164" fontId="14" fillId="0" borderId="1" xfId="0" applyNumberFormat="1" applyFont="1" applyFill="1" applyBorder="1" applyAlignment="1">
      <alignment wrapText="1"/>
      <protection locked="0"/>
    </xf>
    <xf numFmtId="164" fontId="14" fillId="0" borderId="6" xfId="0" applyNumberFormat="1" applyFont="1" applyBorder="1" applyAlignment="1">
      <alignment wrapText="1"/>
      <protection locked="0"/>
    </xf>
    <xf numFmtId="165" fontId="4" fillId="0" borderId="53" xfId="0" applyNumberFormat="1" applyFont="1" applyBorder="1" applyAlignment="1" applyProtection="1">
      <alignment horizontal="center" vertical="center"/>
    </xf>
    <xf numFmtId="165" fontId="4" fillId="0" borderId="56" xfId="0" applyNumberFormat="1" applyFont="1" applyBorder="1" applyAlignment="1" applyProtection="1">
      <alignment horizontal="center" vertical="center"/>
    </xf>
    <xf numFmtId="165" fontId="4" fillId="0" borderId="52" xfId="0" applyNumberFormat="1" applyFont="1" applyBorder="1" applyAlignment="1" applyProtection="1">
      <alignment horizontal="center" vertical="center"/>
    </xf>
    <xf numFmtId="165" fontId="4" fillId="0" borderId="37" xfId="0" applyNumberFormat="1" applyFont="1" applyBorder="1" applyAlignment="1" applyProtection="1">
      <alignment horizontal="center" vertical="center"/>
    </xf>
    <xf numFmtId="165" fontId="5" fillId="0" borderId="46" xfId="0" applyNumberFormat="1" applyFont="1" applyBorder="1" applyAlignment="1" applyProtection="1">
      <alignment horizontal="center" vertical="center"/>
    </xf>
    <xf numFmtId="165" fontId="5" fillId="0" borderId="54" xfId="0" applyNumberFormat="1" applyFont="1" applyBorder="1" applyAlignment="1" applyProtection="1">
      <alignment horizontal="center" vertical="center"/>
    </xf>
    <xf numFmtId="165" fontId="5" fillId="0" borderId="50" xfId="0" applyNumberFormat="1" applyFont="1" applyBorder="1" applyAlignment="1" applyProtection="1">
      <alignment horizontal="center" vertical="center"/>
    </xf>
    <xf numFmtId="165" fontId="5" fillId="0" borderId="51" xfId="0" applyNumberFormat="1" applyFont="1" applyBorder="1" applyAlignment="1" applyProtection="1">
      <alignment horizontal="center" vertical="center"/>
    </xf>
    <xf numFmtId="165" fontId="4" fillId="0" borderId="4" xfId="0" applyNumberFormat="1" applyFont="1" applyBorder="1" applyAlignment="1" applyProtection="1">
      <alignment horizontal="center" vertical="center"/>
    </xf>
    <xf numFmtId="165" fontId="4" fillId="0" borderId="18" xfId="0" applyNumberFormat="1" applyFont="1" applyBorder="1" applyAlignment="1" applyProtection="1">
      <alignment horizontal="center" vertical="center"/>
    </xf>
    <xf numFmtId="165" fontId="4" fillId="0" borderId="19" xfId="0" applyNumberFormat="1" applyFont="1" applyBorder="1" applyAlignment="1" applyProtection="1">
      <alignment horizontal="center" vertical="center"/>
    </xf>
    <xf numFmtId="165" fontId="4" fillId="0" borderId="20" xfId="0" applyNumberFormat="1" applyFont="1" applyBorder="1" applyAlignment="1" applyProtection="1">
      <alignment horizontal="center" vertical="center"/>
    </xf>
    <xf numFmtId="0" fontId="1" fillId="0" borderId="7" xfId="0" applyFont="1" applyBorder="1" applyAlignment="1">
      <alignment horizontal="center" vertical="center"/>
      <protection locked="0"/>
    </xf>
    <xf numFmtId="165" fontId="4" fillId="0" borderId="34" xfId="0" applyNumberFormat="1" applyFont="1" applyBorder="1" applyAlignment="1" applyProtection="1">
      <alignment horizontal="center" vertical="center"/>
    </xf>
    <xf numFmtId="165" fontId="4" fillId="0" borderId="12" xfId="0" applyNumberFormat="1" applyFont="1" applyBorder="1" applyAlignment="1" applyProtection="1">
      <alignment horizontal="center" vertical="center"/>
    </xf>
    <xf numFmtId="165" fontId="4" fillId="0" borderId="9" xfId="0" applyNumberFormat="1" applyFont="1" applyBorder="1" applyAlignment="1" applyProtection="1">
      <alignment horizontal="center" vertical="center"/>
    </xf>
    <xf numFmtId="165" fontId="4" fillId="0" borderId="8" xfId="0" applyNumberFormat="1" applyFont="1" applyBorder="1" applyAlignment="1" applyProtection="1">
      <alignment horizontal="center" vertical="center"/>
    </xf>
    <xf numFmtId="165" fontId="4" fillId="0" borderId="45" xfId="0" applyNumberFormat="1" applyFont="1" applyBorder="1" applyAlignment="1" applyProtection="1">
      <alignment horizontal="center" vertical="center"/>
    </xf>
    <xf numFmtId="165" fontId="4" fillId="0" borderId="38" xfId="0" applyNumberFormat="1" applyFont="1" applyBorder="1" applyAlignment="1" applyProtection="1">
      <alignment horizontal="center" vertical="center"/>
    </xf>
    <xf numFmtId="165" fontId="4" fillId="0" borderId="11" xfId="0" applyNumberFormat="1" applyFont="1" applyBorder="1" applyAlignment="1" applyProtection="1">
      <alignment horizontal="center" vertical="center"/>
    </xf>
    <xf numFmtId="165" fontId="4" fillId="0" borderId="13" xfId="0" applyNumberFormat="1" applyFont="1" applyBorder="1" applyAlignment="1" applyProtection="1">
      <alignment horizontal="center" vertical="center"/>
    </xf>
    <xf numFmtId="0" fontId="15" fillId="0" borderId="0" xfId="0" applyFont="1">
      <protection locked="0"/>
    </xf>
    <xf numFmtId="164" fontId="3" fillId="0" borderId="44" xfId="0" applyNumberFormat="1" applyFont="1" applyBorder="1" applyAlignment="1">
      <alignment wrapText="1"/>
      <protection locked="0"/>
    </xf>
    <xf numFmtId="165" fontId="7" fillId="0" borderId="3" xfId="0" applyNumberFormat="1" applyFont="1" applyBorder="1" applyAlignment="1" applyProtection="1">
      <alignment horizontal="center" vertical="center"/>
    </xf>
    <xf numFmtId="165" fontId="6" fillId="0" borderId="3" xfId="0" applyNumberFormat="1" applyFont="1" applyBorder="1" applyAlignment="1" applyProtection="1">
      <alignment horizontal="center" vertical="center"/>
    </xf>
    <xf numFmtId="165" fontId="7" fillId="0" borderId="47" xfId="0" applyNumberFormat="1" applyFont="1" applyBorder="1" applyAlignment="1" applyProtection="1">
      <alignment horizontal="center" vertical="center"/>
    </xf>
    <xf numFmtId="165" fontId="6" fillId="0" borderId="14" xfId="0" applyNumberFormat="1" applyFont="1" applyBorder="1" applyAlignment="1" applyProtection="1">
      <alignment horizontal="center" vertical="center"/>
    </xf>
    <xf numFmtId="165" fontId="6" fillId="0" borderId="10" xfId="0" applyNumberFormat="1" applyFont="1" applyBorder="1" applyAlignment="1" applyProtection="1">
      <alignment horizontal="center" vertical="center"/>
    </xf>
    <xf numFmtId="49" fontId="1" fillId="0" borderId="3" xfId="0" applyNumberFormat="1" applyFont="1" applyBorder="1" applyAlignment="1">
      <alignment horizontal="center" vertical="center"/>
      <protection locked="0"/>
    </xf>
    <xf numFmtId="164" fontId="3" fillId="0" borderId="0" xfId="0" applyNumberFormat="1" applyFont="1" applyAlignment="1">
      <alignment vertical="center"/>
      <protection locked="0"/>
    </xf>
    <xf numFmtId="49" fontId="4" fillId="0" borderId="15" xfId="0" applyNumberFormat="1" applyFont="1" applyFill="1" applyBorder="1" applyAlignment="1">
      <alignment horizontal="center" vertical="center"/>
      <protection locked="0"/>
    </xf>
    <xf numFmtId="0" fontId="1" fillId="0" borderId="0" xfId="0" applyFont="1" applyAlignment="1">
      <alignment horizontal="center"/>
      <protection locked="0"/>
    </xf>
    <xf numFmtId="165" fontId="2" fillId="0" borderId="0" xfId="0" applyNumberFormat="1" applyFont="1" applyAlignment="1">
      <alignment horizontal="center"/>
      <protection locked="0"/>
    </xf>
    <xf numFmtId="0" fontId="4" fillId="0" borderId="1" xfId="0" applyFont="1" applyBorder="1" applyAlignment="1">
      <alignment horizontal="center" vertical="center"/>
      <protection locked="0"/>
    </xf>
    <xf numFmtId="165" fontId="4" fillId="0" borderId="38" xfId="0" applyNumberFormat="1" applyFont="1" applyBorder="1">
      <protection locked="0"/>
    </xf>
    <xf numFmtId="165" fontId="4" fillId="0" borderId="11" xfId="0" applyNumberFormat="1" applyFont="1" applyBorder="1">
      <protection locked="0"/>
    </xf>
    <xf numFmtId="164" fontId="5" fillId="0" borderId="43" xfId="0" applyNumberFormat="1" applyFont="1" applyBorder="1" applyAlignment="1">
      <alignment horizontal="center" vertical="center"/>
      <protection locked="0"/>
    </xf>
    <xf numFmtId="0" fontId="1" fillId="0" borderId="7" xfId="0" applyFont="1" applyBorder="1" applyAlignment="1">
      <alignment horizontal="center" vertical="center"/>
      <protection locked="0"/>
    </xf>
    <xf numFmtId="0" fontId="4" fillId="0" borderId="5" xfId="0" applyFont="1" applyBorder="1" applyAlignment="1">
      <alignment horizontal="center" vertical="center" wrapText="1"/>
      <protection locked="0"/>
    </xf>
    <xf numFmtId="0" fontId="4" fillId="0" borderId="7" xfId="0" applyFont="1" applyBorder="1" applyAlignment="1">
      <alignment horizontal="center" vertical="center"/>
      <protection locked="0"/>
    </xf>
    <xf numFmtId="1" fontId="4" fillId="0" borderId="7" xfId="0" applyNumberFormat="1" applyFont="1" applyBorder="1" applyAlignment="1">
      <alignment horizontal="center" vertical="center" wrapText="1"/>
      <protection locked="0"/>
    </xf>
    <xf numFmtId="1" fontId="4" fillId="0" borderId="7" xfId="0" applyNumberFormat="1" applyFont="1" applyBorder="1" applyAlignment="1">
      <alignment horizontal="center" vertical="center"/>
      <protection locked="0"/>
    </xf>
    <xf numFmtId="1" fontId="4" fillId="0" borderId="12" xfId="0" applyNumberFormat="1" applyFont="1" applyBorder="1" applyAlignment="1">
      <alignment horizontal="center" vertical="center"/>
      <protection locked="0"/>
    </xf>
    <xf numFmtId="1" fontId="4" fillId="0" borderId="9" xfId="0" applyNumberFormat="1" applyFont="1" applyBorder="1" applyAlignment="1">
      <alignment horizontal="center" vertical="center"/>
      <protection locked="0"/>
    </xf>
    <xf numFmtId="1" fontId="4" fillId="0" borderId="8" xfId="0" applyNumberFormat="1" applyFont="1" applyBorder="1" applyAlignment="1">
      <alignment horizontal="center" vertical="center" wrapText="1"/>
      <protection locked="0"/>
    </xf>
    <xf numFmtId="0" fontId="3" fillId="0" borderId="15" xfId="0" applyFont="1" applyBorder="1" applyAlignment="1">
      <alignment horizontal="center"/>
      <protection locked="0"/>
    </xf>
    <xf numFmtId="165" fontId="5" fillId="0" borderId="1" xfId="0" applyNumberFormat="1" applyFont="1" applyBorder="1" applyAlignment="1">
      <alignment horizontal="center"/>
      <protection locked="0"/>
    </xf>
    <xf numFmtId="165" fontId="5" fillId="0" borderId="1" xfId="0" applyNumberFormat="1" applyFont="1" applyBorder="1" applyAlignment="1">
      <protection locked="0"/>
    </xf>
    <xf numFmtId="165" fontId="5" fillId="0" borderId="21" xfId="0" applyNumberFormat="1" applyFont="1" applyBorder="1" applyAlignment="1">
      <protection locked="0"/>
    </xf>
    <xf numFmtId="165" fontId="5" fillId="0" borderId="22" xfId="0" applyNumberFormat="1" applyFont="1" applyBorder="1" applyAlignment="1">
      <protection locked="0"/>
    </xf>
    <xf numFmtId="165" fontId="5" fillId="0" borderId="23" xfId="0" applyNumberFormat="1" applyFont="1" applyBorder="1" applyAlignment="1">
      <protection locked="0"/>
    </xf>
    <xf numFmtId="164" fontId="17" fillId="0" borderId="16" xfId="0" applyNumberFormat="1" applyFont="1" applyBorder="1" applyAlignment="1">
      <alignment wrapText="1"/>
      <protection locked="0"/>
    </xf>
    <xf numFmtId="164" fontId="4" fillId="0" borderId="1" xfId="0" applyNumberFormat="1" applyFont="1" applyBorder="1" applyAlignment="1">
      <alignment horizontal="center" vertical="center"/>
      <protection locked="0"/>
    </xf>
    <xf numFmtId="165" fontId="4" fillId="0" borderId="1" xfId="0" applyNumberFormat="1" applyFont="1" applyBorder="1" applyAlignment="1">
      <protection locked="0"/>
    </xf>
    <xf numFmtId="165" fontId="4" fillId="0" borderId="21" xfId="0" applyNumberFormat="1" applyFont="1" applyBorder="1" applyAlignment="1">
      <protection locked="0"/>
    </xf>
    <xf numFmtId="165" fontId="4" fillId="0" borderId="22" xfId="0" applyNumberFormat="1" applyFont="1" applyBorder="1" applyAlignment="1">
      <protection locked="0"/>
    </xf>
    <xf numFmtId="165" fontId="4" fillId="0" borderId="23" xfId="0" applyNumberFormat="1" applyFont="1" applyBorder="1" applyAlignment="1">
      <protection locked="0"/>
    </xf>
    <xf numFmtId="165" fontId="4" fillId="0" borderId="22" xfId="0" applyNumberFormat="1" applyFont="1" applyFill="1" applyBorder="1" applyAlignment="1">
      <protection locked="0"/>
    </xf>
    <xf numFmtId="164" fontId="4" fillId="0" borderId="16" xfId="0" applyNumberFormat="1" applyFont="1" applyBorder="1" applyAlignment="1">
      <alignment wrapText="1"/>
      <protection locked="0"/>
    </xf>
    <xf numFmtId="0" fontId="1" fillId="0" borderId="0" xfId="0" applyFont="1" applyAlignment="1">
      <alignment wrapText="1"/>
      <protection locked="0"/>
    </xf>
    <xf numFmtId="165" fontId="1" fillId="0" borderId="23" xfId="0" applyNumberFormat="1" applyFont="1" applyBorder="1" applyAlignment="1">
      <alignment horizontal="right" vertical="center"/>
      <protection locked="0"/>
    </xf>
    <xf numFmtId="0" fontId="1" fillId="0" borderId="0" xfId="0" applyFont="1" applyAlignment="1">
      <protection locked="0"/>
    </xf>
    <xf numFmtId="164" fontId="4" fillId="2" borderId="1" xfId="0" applyNumberFormat="1" applyFont="1" applyFill="1" applyBorder="1" applyAlignment="1">
      <alignment wrapText="1"/>
      <protection locked="0"/>
    </xf>
    <xf numFmtId="165" fontId="4" fillId="0" borderId="21" xfId="0" applyNumberFormat="1" applyFont="1" applyFill="1" applyBorder="1" applyAlignment="1">
      <protection locked="0"/>
    </xf>
    <xf numFmtId="49" fontId="4" fillId="0" borderId="1" xfId="0" applyNumberFormat="1" applyFont="1" applyFill="1" applyBorder="1" applyAlignment="1">
      <alignment horizontal="center" vertical="center" wrapText="1"/>
      <protection locked="0"/>
    </xf>
    <xf numFmtId="49" fontId="7" fillId="0" borderId="1" xfId="0" applyNumberFormat="1" applyFont="1" applyBorder="1" applyAlignment="1">
      <alignment horizontal="center" vertical="center" wrapText="1"/>
      <protection locked="0"/>
    </xf>
    <xf numFmtId="164" fontId="4" fillId="0" borderId="1" xfId="0" applyNumberFormat="1" applyFont="1" applyBorder="1" applyAlignment="1">
      <alignment horizontal="center" vertical="center" wrapText="1"/>
      <protection locked="0"/>
    </xf>
    <xf numFmtId="164" fontId="14" fillId="0" borderId="16" xfId="0" applyNumberFormat="1" applyFont="1" applyBorder="1" applyAlignment="1">
      <alignment horizontal="center" vertical="center" wrapText="1"/>
      <protection locked="0"/>
    </xf>
    <xf numFmtId="164" fontId="4" fillId="0" borderId="16" xfId="0" applyNumberFormat="1" applyFont="1" applyBorder="1" applyAlignment="1">
      <alignment horizontal="center" vertical="center" wrapText="1"/>
      <protection locked="0"/>
    </xf>
    <xf numFmtId="165" fontId="5" fillId="0" borderId="16" xfId="0" applyNumberFormat="1" applyFont="1" applyBorder="1" applyAlignment="1">
      <protection locked="0"/>
    </xf>
    <xf numFmtId="165" fontId="4" fillId="0" borderId="16" xfId="0" applyNumberFormat="1" applyFont="1" applyBorder="1" applyAlignment="1">
      <protection locked="0"/>
    </xf>
    <xf numFmtId="165" fontId="4" fillId="0" borderId="56" xfId="0" applyNumberFormat="1" applyFont="1" applyFill="1" applyBorder="1" applyAlignment="1">
      <protection locked="0"/>
    </xf>
    <xf numFmtId="165" fontId="4" fillId="0" borderId="52" xfId="0" applyNumberFormat="1" applyFont="1" applyFill="1" applyBorder="1" applyAlignment="1">
      <protection locked="0"/>
    </xf>
    <xf numFmtId="0" fontId="5" fillId="0" borderId="10" xfId="0" applyFont="1" applyBorder="1" applyAlignment="1">
      <alignment horizontal="center"/>
      <protection locked="0"/>
    </xf>
    <xf numFmtId="164" fontId="5" fillId="0" borderId="2" xfId="0" applyNumberFormat="1" applyFont="1" applyBorder="1">
      <protection locked="0"/>
    </xf>
    <xf numFmtId="164" fontId="5" fillId="0" borderId="2" xfId="0" applyNumberFormat="1" applyFont="1" applyBorder="1" applyAlignment="1">
      <alignment horizontal="center" vertical="center"/>
      <protection locked="0"/>
    </xf>
    <xf numFmtId="165" fontId="5" fillId="0" borderId="2" xfId="0" applyNumberFormat="1" applyFont="1" applyBorder="1" applyAlignment="1">
      <protection locked="0"/>
    </xf>
    <xf numFmtId="165" fontId="5" fillId="0" borderId="38" xfId="0" applyNumberFormat="1" applyFont="1" applyBorder="1" applyAlignment="1">
      <protection locked="0"/>
    </xf>
    <xf numFmtId="165" fontId="5" fillId="0" borderId="11" xfId="0" applyNumberFormat="1" applyFont="1" applyBorder="1" applyAlignment="1">
      <protection locked="0"/>
    </xf>
    <xf numFmtId="165" fontId="5" fillId="0" borderId="13" xfId="0" applyNumberFormat="1" applyFont="1" applyBorder="1" applyAlignment="1">
      <protection locked="0"/>
    </xf>
    <xf numFmtId="0" fontId="1" fillId="0" borderId="57" xfId="0" applyFont="1" applyBorder="1">
      <protection locked="0"/>
    </xf>
    <xf numFmtId="0" fontId="1" fillId="0" borderId="15" xfId="0" applyFont="1" applyBorder="1" applyAlignment="1">
      <alignment horizontal="center" vertical="center"/>
      <protection locked="0"/>
    </xf>
    <xf numFmtId="165" fontId="1" fillId="0" borderId="15" xfId="0" applyNumberFormat="1" applyFont="1" applyBorder="1">
      <protection locked="0"/>
    </xf>
    <xf numFmtId="165" fontId="1" fillId="0" borderId="57" xfId="0" applyNumberFormat="1" applyFont="1" applyBorder="1">
      <protection locked="0"/>
    </xf>
    <xf numFmtId="165" fontId="1" fillId="0" borderId="19" xfId="0" applyNumberFormat="1" applyFont="1" applyBorder="1">
      <protection locked="0"/>
    </xf>
    <xf numFmtId="165" fontId="1" fillId="0" borderId="20" xfId="0" applyNumberFormat="1" applyFont="1" applyBorder="1">
      <protection locked="0"/>
    </xf>
    <xf numFmtId="0" fontId="4" fillId="0" borderId="36" xfId="0" applyFont="1" applyBorder="1">
      <protection locked="0"/>
    </xf>
    <xf numFmtId="0" fontId="1" fillId="0" borderId="3" xfId="0" applyFont="1" applyBorder="1" applyAlignment="1">
      <alignment horizontal="center" vertical="center"/>
      <protection locked="0"/>
    </xf>
    <xf numFmtId="165" fontId="4" fillId="0" borderId="3" xfId="0" applyNumberFormat="1" applyFont="1" applyBorder="1">
      <protection locked="0"/>
    </xf>
    <xf numFmtId="165" fontId="4" fillId="0" borderId="36" xfId="0" applyNumberFormat="1" applyFont="1" applyBorder="1">
      <protection locked="0"/>
    </xf>
    <xf numFmtId="165" fontId="1" fillId="0" borderId="23" xfId="0" applyNumberFormat="1" applyFont="1" applyBorder="1">
      <protection locked="0"/>
    </xf>
    <xf numFmtId="0" fontId="1" fillId="0" borderId="10" xfId="0" applyFont="1" applyBorder="1" applyAlignment="1">
      <alignment horizontal="center"/>
      <protection locked="0"/>
    </xf>
    <xf numFmtId="0" fontId="4" fillId="0" borderId="58" xfId="0" applyFont="1" applyBorder="1">
      <protection locked="0"/>
    </xf>
    <xf numFmtId="0" fontId="1" fillId="0" borderId="10" xfId="0" applyFont="1" applyBorder="1" applyAlignment="1">
      <alignment horizontal="center" vertical="center"/>
      <protection locked="0"/>
    </xf>
    <xf numFmtId="165" fontId="4" fillId="0" borderId="10" xfId="0" applyNumberFormat="1" applyFont="1" applyBorder="1">
      <protection locked="0"/>
    </xf>
    <xf numFmtId="165" fontId="4" fillId="0" borderId="58" xfId="0" applyNumberFormat="1" applyFont="1" applyBorder="1">
      <protection locked="0"/>
    </xf>
    <xf numFmtId="165" fontId="1" fillId="0" borderId="13" xfId="0" applyNumberFormat="1" applyFont="1" applyBorder="1">
      <protection locked="0"/>
    </xf>
    <xf numFmtId="0" fontId="1" fillId="0" borderId="4" xfId="0" applyFont="1" applyBorder="1" applyAlignment="1">
      <alignment horizontal="center" vertical="center"/>
      <protection locked="0"/>
    </xf>
    <xf numFmtId="165" fontId="1" fillId="0" borderId="4" xfId="0" applyNumberFormat="1" applyFont="1" applyFill="1" applyBorder="1">
      <protection locked="0"/>
    </xf>
    <xf numFmtId="165" fontId="1" fillId="0" borderId="0" xfId="0" applyNumberFormat="1" applyFont="1" applyFill="1">
      <protection locked="0"/>
    </xf>
    <xf numFmtId="1" fontId="1" fillId="0" borderId="5" xfId="0" applyNumberFormat="1" applyFont="1" applyBorder="1" applyAlignment="1">
      <alignment horizontal="center" vertical="center"/>
      <protection locked="0"/>
    </xf>
    <xf numFmtId="49" fontId="5" fillId="0" borderId="1" xfId="0" applyNumberFormat="1" applyFont="1" applyBorder="1" applyAlignment="1">
      <alignment horizontal="center" vertical="center" wrapText="1"/>
      <protection locked="0"/>
    </xf>
    <xf numFmtId="165" fontId="7" fillId="0" borderId="3" xfId="0" applyNumberFormat="1" applyFont="1" applyBorder="1" applyAlignment="1">
      <protection locked="0"/>
    </xf>
    <xf numFmtId="165" fontId="7" fillId="0" borderId="21" xfId="0" applyNumberFormat="1" applyFont="1" applyBorder="1" applyAlignment="1">
      <protection locked="0"/>
    </xf>
    <xf numFmtId="165" fontId="7" fillId="0" borderId="22" xfId="0" applyNumberFormat="1" applyFont="1" applyBorder="1" applyAlignment="1">
      <protection locked="0"/>
    </xf>
    <xf numFmtId="165" fontId="8" fillId="0" borderId="17" xfId="0" applyNumberFormat="1" applyFont="1" applyBorder="1" applyAlignment="1">
      <alignment horizontal="right" vertical="center"/>
      <protection locked="0"/>
    </xf>
    <xf numFmtId="165" fontId="4" fillId="0" borderId="3" xfId="0" applyNumberFormat="1" applyFont="1" applyBorder="1" applyAlignment="1">
      <protection locked="0"/>
    </xf>
    <xf numFmtId="165" fontId="1" fillId="0" borderId="17" xfId="0" applyNumberFormat="1" applyFont="1" applyBorder="1" applyAlignment="1">
      <alignment horizontal="right" vertical="center"/>
      <protection locked="0"/>
    </xf>
    <xf numFmtId="165" fontId="6" fillId="0" borderId="3" xfId="0" applyNumberFormat="1" applyFont="1" applyBorder="1" applyAlignment="1">
      <protection locked="0"/>
    </xf>
    <xf numFmtId="165" fontId="7" fillId="0" borderId="23" xfId="0" applyNumberFormat="1" applyFont="1" applyBorder="1" applyAlignment="1">
      <protection locked="0"/>
    </xf>
    <xf numFmtId="165" fontId="7" fillId="0" borderId="17" xfId="0" applyNumberFormat="1" applyFont="1" applyBorder="1" applyAlignment="1">
      <protection locked="0"/>
    </xf>
    <xf numFmtId="165" fontId="8" fillId="0" borderId="17" xfId="0" applyNumberFormat="1" applyFont="1" applyBorder="1" applyAlignment="1">
      <alignment horizontal="right"/>
      <protection locked="0"/>
    </xf>
    <xf numFmtId="0" fontId="3" fillId="0" borderId="0" xfId="0" applyFont="1" applyAlignment="1">
      <protection locked="0"/>
    </xf>
    <xf numFmtId="165" fontId="5" fillId="0" borderId="0" xfId="0" applyNumberFormat="1" applyFont="1" applyBorder="1" applyAlignment="1">
      <protection locked="0"/>
    </xf>
    <xf numFmtId="0" fontId="3" fillId="0" borderId="0" xfId="0" applyFont="1" applyBorder="1" applyAlignment="1">
      <protection locked="0"/>
    </xf>
    <xf numFmtId="49" fontId="5" fillId="0" borderId="16" xfId="0" applyNumberFormat="1" applyFont="1" applyBorder="1" applyAlignment="1">
      <alignment horizontal="center" vertical="center" wrapText="1"/>
      <protection locked="0"/>
    </xf>
    <xf numFmtId="165" fontId="7" fillId="0" borderId="14" xfId="0" applyNumberFormat="1" applyFont="1" applyBorder="1" applyAlignment="1">
      <protection locked="0"/>
    </xf>
    <xf numFmtId="165" fontId="7" fillId="0" borderId="56" xfId="0" applyNumberFormat="1" applyFont="1" applyBorder="1" applyAlignment="1">
      <protection locked="0"/>
    </xf>
    <xf numFmtId="165" fontId="7" fillId="0" borderId="52" xfId="0" applyNumberFormat="1" applyFont="1" applyBorder="1" applyAlignment="1">
      <protection locked="0"/>
    </xf>
    <xf numFmtId="165" fontId="7" fillId="0" borderId="37" xfId="0" applyNumberFormat="1" applyFont="1" applyBorder="1" applyAlignment="1">
      <protection locked="0"/>
    </xf>
    <xf numFmtId="0" fontId="1" fillId="0" borderId="0" xfId="0" applyFont="1" applyBorder="1" applyAlignment="1">
      <protection locked="0"/>
    </xf>
    <xf numFmtId="0" fontId="1" fillId="0" borderId="47" xfId="0" applyFont="1" applyBorder="1" applyAlignment="1">
      <alignment horizontal="center" vertical="center"/>
      <protection locked="0"/>
    </xf>
    <xf numFmtId="165" fontId="7" fillId="0" borderId="43" xfId="0" applyNumberFormat="1" applyFont="1" applyBorder="1">
      <protection locked="0"/>
    </xf>
    <xf numFmtId="165" fontId="7" fillId="0" borderId="54" xfId="0" applyNumberFormat="1" applyFont="1" applyBorder="1">
      <protection locked="0"/>
    </xf>
    <xf numFmtId="165" fontId="7" fillId="0" borderId="50" xfId="0" applyNumberFormat="1" applyFont="1" applyBorder="1">
      <protection locked="0"/>
    </xf>
    <xf numFmtId="165" fontId="1" fillId="0" borderId="51" xfId="0" applyNumberFormat="1" applyFont="1" applyBorder="1">
      <protection locked="0"/>
    </xf>
    <xf numFmtId="165" fontId="1" fillId="0" borderId="6" xfId="0" applyNumberFormat="1" applyFont="1" applyBorder="1">
      <protection locked="0"/>
    </xf>
    <xf numFmtId="165" fontId="1" fillId="0" borderId="12" xfId="0" applyNumberFormat="1" applyFont="1" applyBorder="1">
      <protection locked="0"/>
    </xf>
    <xf numFmtId="165" fontId="1" fillId="0" borderId="9" xfId="0" applyNumberFormat="1" applyFont="1" applyBorder="1">
      <protection locked="0"/>
    </xf>
    <xf numFmtId="165" fontId="1" fillId="0" borderId="8" xfId="0" applyNumberFormat="1" applyFont="1" applyBorder="1">
      <protection locked="0"/>
    </xf>
    <xf numFmtId="165" fontId="4" fillId="0" borderId="1" xfId="0" applyNumberFormat="1" applyFont="1" applyBorder="1">
      <protection locked="0"/>
    </xf>
    <xf numFmtId="165" fontId="4" fillId="0" borderId="21" xfId="0" applyNumberFormat="1" applyFont="1" applyBorder="1">
      <protection locked="0"/>
    </xf>
    <xf numFmtId="165" fontId="4" fillId="0" borderId="22" xfId="0" applyNumberFormat="1" applyFont="1" applyBorder="1">
      <protection locked="0"/>
    </xf>
    <xf numFmtId="165" fontId="4" fillId="0" borderId="23" xfId="0" applyNumberFormat="1" applyFont="1" applyBorder="1">
      <protection locked="0"/>
    </xf>
    <xf numFmtId="165" fontId="4" fillId="0" borderId="2" xfId="0" applyNumberFormat="1" applyFont="1" applyBorder="1">
      <protection locked="0"/>
    </xf>
    <xf numFmtId="165" fontId="4" fillId="0" borderId="13" xfId="0" applyNumberFormat="1" applyFont="1" applyBorder="1">
      <protection locked="0"/>
    </xf>
    <xf numFmtId="165" fontId="1" fillId="0" borderId="4" xfId="0" applyNumberFormat="1" applyFont="1" applyBorder="1">
      <protection locked="0"/>
    </xf>
    <xf numFmtId="165" fontId="16" fillId="0" borderId="0" xfId="0" applyNumberFormat="1" applyFont="1" applyAlignment="1">
      <alignment horizontal="right"/>
      <protection locked="0"/>
    </xf>
    <xf numFmtId="0" fontId="16" fillId="0" borderId="5"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1" fontId="16" fillId="0" borderId="7" xfId="0" applyNumberFormat="1" applyFont="1" applyBorder="1" applyAlignment="1">
      <alignment horizontal="center" vertical="center" wrapText="1"/>
      <protection locked="0"/>
    </xf>
    <xf numFmtId="1" fontId="16" fillId="0" borderId="5" xfId="0" applyNumberFormat="1" applyFont="1" applyBorder="1" applyAlignment="1">
      <alignment horizontal="center" vertical="center"/>
      <protection locked="0"/>
    </xf>
    <xf numFmtId="1" fontId="16" fillId="0" borderId="59" xfId="0" applyNumberFormat="1" applyFont="1" applyBorder="1" applyAlignment="1">
      <alignment horizontal="center" vertical="center"/>
      <protection locked="0"/>
    </xf>
    <xf numFmtId="1" fontId="16" fillId="0" borderId="9" xfId="0" applyNumberFormat="1" applyFont="1" applyBorder="1" applyAlignment="1">
      <alignment horizontal="center" vertical="center"/>
      <protection locked="0"/>
    </xf>
    <xf numFmtId="1" fontId="16" fillId="0" borderId="60" xfId="0" applyNumberFormat="1" applyFont="1" applyBorder="1" applyAlignment="1">
      <alignment horizontal="center" vertical="center" wrapText="1"/>
      <protection locked="0"/>
    </xf>
    <xf numFmtId="1" fontId="16" fillId="0" borderId="12" xfId="0" applyNumberFormat="1" applyFont="1" applyBorder="1" applyAlignment="1">
      <alignment horizontal="center" vertical="center"/>
      <protection locked="0"/>
    </xf>
    <xf numFmtId="1" fontId="16" fillId="0" borderId="8" xfId="0" applyNumberFormat="1" applyFont="1" applyBorder="1" applyAlignment="1">
      <alignment horizontal="center" vertical="center" wrapText="1"/>
      <protection locked="0"/>
    </xf>
    <xf numFmtId="0" fontId="8" fillId="0" borderId="15" xfId="0" applyFont="1" applyBorder="1" applyAlignment="1">
      <alignment horizontal="center"/>
      <protection locked="0"/>
    </xf>
    <xf numFmtId="0" fontId="7" fillId="0" borderId="6" xfId="0" applyFont="1" applyBorder="1" applyAlignment="1">
      <alignment horizontal="center" vertical="center"/>
      <protection locked="0"/>
    </xf>
    <xf numFmtId="165" fontId="7" fillId="0" borderId="36" xfId="0" applyNumberFormat="1" applyFont="1" applyBorder="1" applyAlignment="1" applyProtection="1">
      <alignment horizontal="center" vertical="center"/>
    </xf>
    <xf numFmtId="165" fontId="7" fillId="0" borderId="61" xfId="0" applyNumberFormat="1" applyFont="1" applyBorder="1" applyAlignment="1" applyProtection="1">
      <alignment horizontal="center" vertical="center"/>
    </xf>
    <xf numFmtId="0" fontId="16" fillId="0" borderId="3" xfId="0" applyFont="1" applyBorder="1" applyAlignment="1">
      <alignment horizontal="center"/>
      <protection locked="0"/>
    </xf>
    <xf numFmtId="164" fontId="6" fillId="0" borderId="6" xfId="0" applyNumberFormat="1" applyFont="1" applyBorder="1" applyAlignment="1">
      <alignment wrapText="1"/>
      <protection locked="0"/>
    </xf>
    <xf numFmtId="49" fontId="6" fillId="0" borderId="1" xfId="0" applyNumberFormat="1" applyFont="1" applyBorder="1" applyAlignment="1">
      <alignment horizontal="center" vertical="center" wrapText="1"/>
      <protection locked="0"/>
    </xf>
    <xf numFmtId="165" fontId="6" fillId="0" borderId="36" xfId="0" applyNumberFormat="1" applyFont="1" applyBorder="1" applyAlignment="1" applyProtection="1">
      <alignment horizontal="center" vertical="center"/>
    </xf>
    <xf numFmtId="165" fontId="6" fillId="0" borderId="61" xfId="0" applyNumberFormat="1" applyFont="1" applyBorder="1" applyAlignment="1" applyProtection="1">
      <alignment horizontal="center" vertical="center"/>
    </xf>
    <xf numFmtId="0" fontId="16" fillId="0" borderId="14" xfId="0" applyFont="1" applyBorder="1" applyAlignment="1">
      <alignment horizontal="center"/>
      <protection locked="0"/>
    </xf>
    <xf numFmtId="164" fontId="6" fillId="0" borderId="31" xfId="0" applyNumberFormat="1" applyFont="1" applyBorder="1" applyAlignment="1">
      <alignment wrapText="1"/>
      <protection locked="0"/>
    </xf>
    <xf numFmtId="49" fontId="6" fillId="0" borderId="16" xfId="0" applyNumberFormat="1" applyFont="1" applyBorder="1" applyAlignment="1">
      <alignment horizontal="center" vertical="center" wrapText="1"/>
      <protection locked="0"/>
    </xf>
    <xf numFmtId="165" fontId="7" fillId="0" borderId="14" xfId="0" applyNumberFormat="1" applyFont="1" applyBorder="1" applyAlignment="1" applyProtection="1">
      <alignment horizontal="center" vertical="center"/>
    </xf>
    <xf numFmtId="165" fontId="6" fillId="0" borderId="62" xfId="0" applyNumberFormat="1" applyFont="1" applyBorder="1" applyAlignment="1" applyProtection="1">
      <alignment horizontal="center" vertical="center"/>
    </xf>
    <xf numFmtId="165" fontId="6" fillId="0" borderId="63" xfId="0" applyNumberFormat="1" applyFont="1" applyBorder="1" applyAlignment="1" applyProtection="1">
      <alignment horizontal="center" vertical="center"/>
    </xf>
    <xf numFmtId="164" fontId="2" fillId="0" borderId="46" xfId="0" applyNumberFormat="1" applyFont="1" applyBorder="1">
      <protection locked="0"/>
    </xf>
    <xf numFmtId="165" fontId="7" fillId="0" borderId="64" xfId="0" applyNumberFormat="1" applyFont="1" applyBorder="1" applyAlignment="1" applyProtection="1">
      <alignment horizontal="center" vertical="center"/>
    </xf>
    <xf numFmtId="165" fontId="7" fillId="0" borderId="65" xfId="0" applyNumberFormat="1" applyFont="1" applyBorder="1" applyAlignment="1" applyProtection="1">
      <alignment horizontal="center" vertical="center"/>
    </xf>
    <xf numFmtId="0" fontId="5" fillId="0" borderId="15" xfId="0" applyFont="1" applyBorder="1" applyAlignment="1">
      <alignment horizontal="center"/>
      <protection locked="0"/>
    </xf>
    <xf numFmtId="164" fontId="12" fillId="0" borderId="6" xfId="0" applyNumberFormat="1" applyFont="1" applyBorder="1">
      <protection locked="0"/>
    </xf>
    <xf numFmtId="164" fontId="5" fillId="0" borderId="6" xfId="0" applyNumberFormat="1" applyFont="1" applyBorder="1" applyAlignment="1">
      <alignment horizontal="center" vertical="center"/>
      <protection locked="0"/>
    </xf>
    <xf numFmtId="165" fontId="7" fillId="0" borderId="15" xfId="0" applyNumberFormat="1" applyFont="1" applyBorder="1" applyAlignment="1" applyProtection="1">
      <alignment horizontal="center" vertical="center"/>
    </xf>
    <xf numFmtId="165" fontId="6" fillId="0" borderId="57" xfId="0" applyNumberFormat="1" applyFont="1" applyBorder="1" applyAlignment="1" applyProtection="1">
      <alignment horizontal="center" vertical="center"/>
    </xf>
    <xf numFmtId="165" fontId="6" fillId="0" borderId="66" xfId="0" applyNumberFormat="1" applyFont="1" applyBorder="1" applyAlignment="1" applyProtection="1">
      <alignment horizontal="center" vertical="center"/>
    </xf>
    <xf numFmtId="0" fontId="5" fillId="0" borderId="3" xfId="0" applyFont="1" applyBorder="1" applyAlignment="1">
      <alignment horizontal="center"/>
      <protection locked="0"/>
    </xf>
    <xf numFmtId="164" fontId="6" fillId="0" borderId="1" xfId="0" applyNumberFormat="1" applyFont="1" applyBorder="1">
      <protection locked="0"/>
    </xf>
    <xf numFmtId="164" fontId="6" fillId="0" borderId="1" xfId="0" applyNumberFormat="1" applyFont="1" applyBorder="1" applyAlignment="1">
      <alignment horizontal="center" vertical="center"/>
      <protection locked="0"/>
    </xf>
    <xf numFmtId="0" fontId="5" fillId="0" borderId="27" xfId="0" applyFont="1" applyBorder="1" applyAlignment="1">
      <alignment horizontal="center"/>
      <protection locked="0"/>
    </xf>
    <xf numFmtId="164" fontId="6" fillId="0" borderId="32" xfId="0" applyNumberFormat="1" applyFont="1" applyBorder="1">
      <protection locked="0"/>
    </xf>
    <xf numFmtId="164" fontId="6" fillId="0" borderId="32" xfId="0" applyNumberFormat="1" applyFont="1" applyBorder="1" applyAlignment="1">
      <alignment horizontal="center" vertical="center"/>
      <protection locked="0"/>
    </xf>
    <xf numFmtId="165" fontId="7" fillId="0" borderId="10" xfId="0" applyNumberFormat="1" applyFont="1" applyBorder="1" applyAlignment="1" applyProtection="1">
      <alignment horizontal="center" vertical="center"/>
    </xf>
    <xf numFmtId="165" fontId="6" fillId="0" borderId="58" xfId="0" applyNumberFormat="1" applyFont="1" applyBorder="1" applyAlignment="1" applyProtection="1">
      <alignment horizontal="center" vertical="center"/>
    </xf>
    <xf numFmtId="165" fontId="6" fillId="0" borderId="67" xfId="0" applyNumberFormat="1" applyFont="1" applyBorder="1" applyAlignment="1" applyProtection="1">
      <alignment horizontal="center" vertical="center"/>
    </xf>
    <xf numFmtId="0" fontId="1" fillId="0" borderId="0" xfId="0" applyFont="1" applyBorder="1" applyAlignment="1">
      <alignment horizontal="center" vertical="center"/>
      <protection locked="0"/>
    </xf>
    <xf numFmtId="164" fontId="1" fillId="0" borderId="0" xfId="0" applyNumberFormat="1" applyFont="1" applyBorder="1">
      <protection locked="0"/>
    </xf>
    <xf numFmtId="164" fontId="1" fillId="0" borderId="53" xfId="0" applyNumberFormat="1" applyFont="1" applyBorder="1">
      <protection locked="0"/>
    </xf>
    <xf numFmtId="0" fontId="1" fillId="0" borderId="0" xfId="0" applyFont="1" applyBorder="1">
      <protection locked="0"/>
    </xf>
    <xf numFmtId="164" fontId="6" fillId="0" borderId="0" xfId="0" applyNumberFormat="1" applyFont="1" applyBorder="1" applyAlignment="1">
      <alignment wrapText="1"/>
      <protection locked="0"/>
    </xf>
    <xf numFmtId="164" fontId="16" fillId="0" borderId="0" xfId="0" applyNumberFormat="1" applyFont="1" applyAlignment="1">
      <alignment horizontal="right"/>
      <protection locked="0"/>
    </xf>
    <xf numFmtId="0" fontId="1" fillId="0" borderId="7" xfId="0" applyFont="1" applyBorder="1" applyAlignment="1">
      <alignment horizontal="center"/>
      <protection locked="0"/>
    </xf>
    <xf numFmtId="1" fontId="1" fillId="0" borderId="59" xfId="0" applyNumberFormat="1" applyFont="1" applyBorder="1" applyAlignment="1">
      <alignment horizontal="center" vertical="center"/>
      <protection locked="0"/>
    </xf>
    <xf numFmtId="0" fontId="3" fillId="0" borderId="15" xfId="0" applyFont="1" applyBorder="1" applyAlignment="1">
      <alignment horizontal="center" vertical="center"/>
      <protection locked="0"/>
    </xf>
    <xf numFmtId="164" fontId="5" fillId="0" borderId="1" xfId="0" applyNumberFormat="1" applyFont="1" applyBorder="1" applyAlignment="1">
      <alignment vertical="center" wrapText="1"/>
      <protection locked="0"/>
    </xf>
    <xf numFmtId="0" fontId="5" fillId="0" borderId="15" xfId="0" applyFont="1" applyBorder="1" applyAlignment="1">
      <alignment horizontal="center" vertical="center"/>
      <protection locked="0"/>
    </xf>
    <xf numFmtId="165" fontId="13" fillId="0" borderId="36" xfId="0" applyNumberFormat="1" applyFont="1" applyBorder="1" applyAlignment="1" applyProtection="1">
      <alignment horizontal="center" vertical="center"/>
    </xf>
    <xf numFmtId="165" fontId="13" fillId="0" borderId="22" xfId="0" applyNumberFormat="1" applyFont="1" applyBorder="1" applyAlignment="1" applyProtection="1">
      <alignment horizontal="center" vertical="center"/>
    </xf>
    <xf numFmtId="165" fontId="13" fillId="0" borderId="23" xfId="0" applyNumberFormat="1" applyFont="1" applyBorder="1" applyAlignment="1" applyProtection="1">
      <alignment horizontal="center" vertical="center"/>
    </xf>
    <xf numFmtId="164" fontId="6" fillId="0" borderId="4" xfId="0" applyNumberFormat="1" applyFont="1" applyBorder="1" applyAlignment="1">
      <alignment vertical="center" wrapText="1"/>
      <protection locked="0"/>
    </xf>
    <xf numFmtId="0" fontId="6" fillId="0" borderId="15" xfId="0" applyFont="1" applyBorder="1" applyAlignment="1">
      <alignment horizontal="center" vertical="center"/>
      <protection locked="0"/>
    </xf>
    <xf numFmtId="165" fontId="19" fillId="0" borderId="36" xfId="0" applyNumberFormat="1" applyFont="1" applyBorder="1" applyAlignment="1" applyProtection="1">
      <alignment horizontal="center" vertical="center"/>
    </xf>
    <xf numFmtId="165" fontId="19" fillId="0" borderId="22" xfId="0" applyNumberFormat="1" applyFont="1" applyBorder="1" applyAlignment="1" applyProtection="1">
      <alignment horizontal="center" vertical="center"/>
    </xf>
    <xf numFmtId="164" fontId="6" fillId="0" borderId="4" xfId="0" applyNumberFormat="1" applyFont="1" applyBorder="1" applyAlignment="1">
      <alignment horizontal="justify" vertical="justify" wrapText="1"/>
      <protection locked="0"/>
    </xf>
    <xf numFmtId="164" fontId="6" fillId="0" borderId="4" xfId="0" applyNumberFormat="1" applyFont="1" applyFill="1" applyBorder="1" applyAlignment="1">
      <alignment horizontal="justify" vertical="justify" wrapText="1"/>
      <protection locked="0"/>
    </xf>
    <xf numFmtId="165" fontId="6" fillId="0" borderId="36" xfId="0" applyNumberFormat="1" applyFont="1" applyFill="1" applyBorder="1" applyAlignment="1" applyProtection="1">
      <alignment horizontal="center" vertical="center"/>
    </xf>
    <xf numFmtId="0" fontId="3" fillId="0" borderId="3" xfId="0" applyFont="1" applyBorder="1" applyAlignment="1">
      <alignment horizontal="center" vertical="center"/>
      <protection locked="0"/>
    </xf>
    <xf numFmtId="164" fontId="7" fillId="0" borderId="4" xfId="0" applyNumberFormat="1" applyFont="1" applyBorder="1" applyAlignment="1">
      <alignment vertical="center" wrapText="1"/>
      <protection locked="0"/>
    </xf>
    <xf numFmtId="0" fontId="3" fillId="0" borderId="14" xfId="0" applyFont="1" applyBorder="1" applyAlignment="1">
      <alignment horizontal="center" vertical="center"/>
      <protection locked="0"/>
    </xf>
    <xf numFmtId="164" fontId="4" fillId="0" borderId="1" xfId="0" applyNumberFormat="1" applyFont="1" applyBorder="1" applyAlignment="1">
      <alignment horizontal="justify" vertical="justify" wrapText="1"/>
      <protection locked="0"/>
    </xf>
    <xf numFmtId="0" fontId="5" fillId="3" borderId="1" xfId="0" applyFont="1" applyFill="1" applyBorder="1" applyAlignment="1" applyProtection="1">
      <alignment horizontal="justify" vertical="center" wrapText="1"/>
    </xf>
    <xf numFmtId="0" fontId="3" fillId="0" borderId="25" xfId="0" applyFont="1" applyBorder="1" applyAlignment="1">
      <alignment vertical="center"/>
      <protection locked="0"/>
    </xf>
    <xf numFmtId="0" fontId="4" fillId="3" borderId="16" xfId="0" applyFont="1" applyFill="1" applyBorder="1" applyAlignment="1" applyProtection="1">
      <alignment horizontal="justify" vertical="center" wrapText="1"/>
    </xf>
    <xf numFmtId="0" fontId="4" fillId="0" borderId="25" xfId="0" applyFont="1" applyBorder="1" applyAlignment="1">
      <alignment horizontal="center" vertical="center"/>
      <protection locked="0"/>
    </xf>
    <xf numFmtId="164" fontId="2" fillId="0" borderId="43" xfId="0" applyNumberFormat="1" applyFont="1" applyBorder="1">
      <protection locked="0"/>
    </xf>
    <xf numFmtId="164" fontId="5" fillId="0" borderId="47" xfId="0" applyNumberFormat="1" applyFont="1" applyBorder="1" applyAlignment="1">
      <alignment horizontal="center"/>
      <protection locked="0"/>
    </xf>
    <xf numFmtId="164" fontId="4" fillId="0" borderId="6" xfId="0" applyNumberFormat="1" applyFont="1" applyBorder="1">
      <protection locked="0"/>
    </xf>
    <xf numFmtId="164" fontId="5" fillId="0" borderId="15" xfId="0" applyNumberFormat="1" applyFont="1" applyBorder="1" applyAlignment="1">
      <alignment horizontal="center"/>
      <protection locked="0"/>
    </xf>
    <xf numFmtId="165" fontId="7" fillId="0" borderId="5" xfId="0" applyNumberFormat="1" applyFont="1" applyBorder="1" applyAlignment="1" applyProtection="1">
      <alignment horizontal="center" vertical="center"/>
    </xf>
    <xf numFmtId="165" fontId="7" fillId="0" borderId="59" xfId="0" applyNumberFormat="1" applyFont="1" applyBorder="1" applyAlignment="1" applyProtection="1">
      <alignment horizontal="center" vertical="center"/>
    </xf>
    <xf numFmtId="165" fontId="7" fillId="0" borderId="9" xfId="0" applyNumberFormat="1" applyFont="1" applyBorder="1" applyAlignment="1" applyProtection="1">
      <alignment horizontal="center" vertical="center"/>
    </xf>
    <xf numFmtId="165" fontId="7" fillId="0" borderId="8" xfId="0" applyNumberFormat="1" applyFont="1" applyBorder="1" applyAlignment="1" applyProtection="1">
      <alignment horizontal="center" vertical="center"/>
    </xf>
    <xf numFmtId="164" fontId="6" fillId="0" borderId="3" xfId="0" applyNumberFormat="1" applyFont="1" applyBorder="1" applyAlignment="1">
      <alignment horizontal="center"/>
      <protection locked="0"/>
    </xf>
    <xf numFmtId="165" fontId="19" fillId="0" borderId="3" xfId="0" applyNumberFormat="1" applyFont="1" applyBorder="1" applyAlignment="1" applyProtection="1">
      <alignment horizontal="center" vertical="center"/>
    </xf>
    <xf numFmtId="164" fontId="6" fillId="0" borderId="14" xfId="0" applyNumberFormat="1" applyFont="1" applyBorder="1" applyAlignment="1">
      <alignment horizontal="center"/>
      <protection locked="0"/>
    </xf>
    <xf numFmtId="164" fontId="6" fillId="0" borderId="2" xfId="0" applyNumberFormat="1" applyFont="1" applyBorder="1">
      <protection locked="0"/>
    </xf>
    <xf numFmtId="164" fontId="6" fillId="0" borderId="10" xfId="0" applyNumberFormat="1" applyFont="1" applyBorder="1" applyAlignment="1">
      <alignment horizontal="center"/>
      <protection locked="0"/>
    </xf>
    <xf numFmtId="164" fontId="1" fillId="0" borderId="0" xfId="0" applyNumberFormat="1" applyFont="1" applyAlignment="1">
      <alignment horizontal="right"/>
      <protection locked="0"/>
    </xf>
    <xf numFmtId="1" fontId="1" fillId="0" borderId="60" xfId="0" applyNumberFormat="1" applyFont="1" applyBorder="1" applyAlignment="1">
      <alignment horizontal="center" vertical="center" wrapText="1"/>
      <protection locked="0"/>
    </xf>
    <xf numFmtId="165" fontId="5" fillId="0" borderId="3" xfId="0" applyNumberFormat="1" applyFont="1" applyBorder="1" applyAlignment="1" applyProtection="1">
      <alignment horizontal="center" vertical="center"/>
    </xf>
    <xf numFmtId="165" fontId="5" fillId="0" borderId="36" xfId="0" applyNumberFormat="1" applyFont="1" applyBorder="1" applyAlignment="1" applyProtection="1">
      <alignment horizontal="center" vertical="center"/>
    </xf>
    <xf numFmtId="165" fontId="5" fillId="0" borderId="22" xfId="0" applyNumberFormat="1" applyFont="1" applyBorder="1" applyAlignment="1" applyProtection="1">
      <alignment horizontal="center" vertical="center"/>
    </xf>
    <xf numFmtId="165" fontId="5" fillId="0" borderId="23" xfId="0" applyNumberFormat="1" applyFont="1" applyBorder="1" applyAlignment="1" applyProtection="1">
      <alignment horizontal="center" vertical="center"/>
    </xf>
    <xf numFmtId="165" fontId="5" fillId="0" borderId="21" xfId="0" applyNumberFormat="1" applyFont="1" applyBorder="1" applyAlignment="1" applyProtection="1">
      <alignment horizontal="center" vertical="center"/>
    </xf>
    <xf numFmtId="165" fontId="5" fillId="0" borderId="61" xfId="0" applyNumberFormat="1" applyFont="1" applyBorder="1" applyAlignment="1" applyProtection="1">
      <alignment horizontal="center" vertical="center"/>
    </xf>
    <xf numFmtId="164" fontId="4" fillId="0" borderId="1" xfId="0" applyNumberFormat="1" applyFont="1" applyBorder="1" applyAlignment="1">
      <alignment vertical="center" wrapText="1"/>
      <protection locked="0"/>
    </xf>
    <xf numFmtId="165" fontId="4" fillId="0" borderId="3" xfId="0" applyNumberFormat="1" applyFont="1" applyBorder="1" applyAlignment="1" applyProtection="1">
      <alignment horizontal="center" vertical="center"/>
    </xf>
    <xf numFmtId="165" fontId="4" fillId="0" borderId="36" xfId="0" applyNumberFormat="1" applyFont="1" applyBorder="1" applyAlignment="1" applyProtection="1">
      <alignment horizontal="center" vertical="center"/>
    </xf>
    <xf numFmtId="165" fontId="4" fillId="0" borderId="22" xfId="0" applyNumberFormat="1" applyFont="1" applyFill="1" applyBorder="1" applyAlignment="1" applyProtection="1">
      <alignment horizontal="center" vertical="center"/>
    </xf>
    <xf numFmtId="0" fontId="1" fillId="0" borderId="0" xfId="0" applyFont="1" applyAlignment="1">
      <alignment vertical="center"/>
      <protection locked="0"/>
    </xf>
    <xf numFmtId="165" fontId="4" fillId="0" borderId="61" xfId="0" applyNumberFormat="1" applyFont="1" applyBorder="1" applyAlignment="1" applyProtection="1">
      <alignment horizontal="center" vertical="center"/>
    </xf>
    <xf numFmtId="0" fontId="5" fillId="0" borderId="1" xfId="0" applyFont="1" applyBorder="1" applyAlignment="1">
      <alignment horizontal="center" vertical="center"/>
      <protection locked="0"/>
    </xf>
    <xf numFmtId="0" fontId="4" fillId="0" borderId="16" xfId="0" applyFont="1" applyBorder="1" applyAlignment="1">
      <alignment horizontal="center" vertical="center"/>
      <protection locked="0"/>
    </xf>
    <xf numFmtId="164" fontId="4" fillId="0" borderId="16" xfId="0" applyNumberFormat="1" applyFont="1" applyBorder="1" applyAlignment="1">
      <alignment vertical="center" wrapText="1"/>
      <protection locked="0"/>
    </xf>
    <xf numFmtId="164" fontId="4" fillId="0" borderId="3" xfId="0" applyNumberFormat="1" applyFont="1" applyBorder="1" applyAlignment="1">
      <alignment vertical="center" wrapText="1"/>
      <protection locked="0"/>
    </xf>
    <xf numFmtId="165" fontId="4" fillId="0" borderId="63" xfId="0" applyNumberFormat="1" applyFont="1" applyBorder="1" applyAlignment="1" applyProtection="1">
      <alignment horizontal="center" vertical="center"/>
    </xf>
    <xf numFmtId="165" fontId="4" fillId="0" borderId="62" xfId="0" applyNumberFormat="1" applyFont="1" applyBorder="1" applyAlignment="1" applyProtection="1">
      <alignment horizontal="center" vertical="center"/>
    </xf>
    <xf numFmtId="165" fontId="5" fillId="0" borderId="37" xfId="0" applyNumberFormat="1" applyFont="1" applyBorder="1" applyAlignment="1" applyProtection="1">
      <alignment horizontal="center" vertical="center"/>
    </xf>
    <xf numFmtId="165" fontId="4" fillId="0" borderId="52" xfId="0" applyNumberFormat="1" applyFont="1" applyFill="1" applyBorder="1" applyAlignment="1" applyProtection="1">
      <alignment horizontal="center" vertical="center"/>
    </xf>
    <xf numFmtId="165" fontId="5" fillId="0" borderId="47" xfId="0" applyNumberFormat="1" applyFont="1" applyBorder="1" applyAlignment="1" applyProtection="1">
      <alignment horizontal="center" vertical="center"/>
    </xf>
    <xf numFmtId="165" fontId="5" fillId="0" borderId="64" xfId="0" applyNumberFormat="1" applyFont="1" applyBorder="1" applyAlignment="1" applyProtection="1">
      <alignment horizontal="center" vertical="center"/>
    </xf>
    <xf numFmtId="164" fontId="4" fillId="0" borderId="5" xfId="0" applyNumberFormat="1" applyFont="1" applyBorder="1">
      <protection locked="0"/>
    </xf>
    <xf numFmtId="164" fontId="4" fillId="0" borderId="5" xfId="0" applyNumberFormat="1" applyFont="1" applyBorder="1" applyAlignment="1">
      <alignment horizontal="center" vertical="center"/>
      <protection locked="0"/>
    </xf>
    <xf numFmtId="165" fontId="5" fillId="0" borderId="5" xfId="0" applyNumberFormat="1" applyFont="1" applyBorder="1" applyAlignment="1" applyProtection="1">
      <alignment horizontal="center" vertical="center"/>
    </xf>
    <xf numFmtId="165" fontId="5" fillId="0" borderId="59" xfId="0" applyNumberFormat="1" applyFont="1" applyBorder="1" applyAlignment="1" applyProtection="1">
      <alignment horizontal="center" vertical="center"/>
    </xf>
    <xf numFmtId="165" fontId="5" fillId="0" borderId="9" xfId="0" applyNumberFormat="1" applyFont="1" applyBorder="1" applyAlignment="1" applyProtection="1">
      <alignment horizontal="center" vertical="center"/>
    </xf>
    <xf numFmtId="165" fontId="5" fillId="0" borderId="8" xfId="0" applyNumberFormat="1" applyFont="1" applyBorder="1" applyAlignment="1" applyProtection="1">
      <alignment horizontal="center" vertical="center"/>
    </xf>
    <xf numFmtId="164" fontId="4" fillId="0" borderId="15" xfId="0" applyNumberFormat="1" applyFont="1" applyBorder="1">
      <protection locked="0"/>
    </xf>
    <xf numFmtId="164" fontId="4" fillId="0" borderId="15" xfId="0" applyNumberFormat="1" applyFont="1" applyBorder="1" applyAlignment="1">
      <alignment horizontal="center" vertical="center"/>
      <protection locked="0"/>
    </xf>
    <xf numFmtId="164" fontId="4" fillId="0" borderId="3" xfId="0" applyNumberFormat="1" applyFont="1" applyBorder="1">
      <protection locked="0"/>
    </xf>
    <xf numFmtId="164" fontId="4" fillId="0" borderId="3" xfId="0" applyNumberFormat="1" applyFont="1" applyBorder="1" applyAlignment="1">
      <alignment horizontal="center" vertical="center"/>
      <protection locked="0"/>
    </xf>
    <xf numFmtId="164" fontId="4" fillId="0" borderId="14" xfId="0" applyNumberFormat="1" applyFont="1" applyBorder="1" applyAlignment="1">
      <alignment horizontal="center" vertical="center"/>
      <protection locked="0"/>
    </xf>
    <xf numFmtId="164" fontId="4" fillId="0" borderId="27" xfId="0" applyNumberFormat="1" applyFont="1" applyBorder="1">
      <protection locked="0"/>
    </xf>
    <xf numFmtId="164" fontId="4" fillId="0" borderId="27" xfId="0" applyNumberFormat="1" applyFont="1" applyBorder="1" applyAlignment="1">
      <alignment horizontal="center" vertical="center"/>
      <protection locked="0"/>
    </xf>
    <xf numFmtId="165" fontId="5" fillId="0" borderId="27" xfId="0" applyNumberFormat="1" applyFont="1" applyBorder="1" applyAlignment="1" applyProtection="1">
      <alignment horizontal="center" vertical="center"/>
    </xf>
    <xf numFmtId="165" fontId="5" fillId="0" borderId="68" xfId="0" applyNumberFormat="1" applyFont="1" applyBorder="1" applyAlignment="1" applyProtection="1">
      <alignment horizontal="center" vertical="center"/>
    </xf>
    <xf numFmtId="165" fontId="5" fillId="0" borderId="69" xfId="0" applyNumberFormat="1" applyFont="1" applyBorder="1" applyAlignment="1" applyProtection="1">
      <alignment horizontal="center" vertical="center"/>
    </xf>
    <xf numFmtId="165" fontId="5" fillId="0" borderId="28" xfId="0" applyNumberFormat="1" applyFont="1" applyBorder="1" applyAlignment="1" applyProtection="1">
      <alignment horizontal="center" vertical="center"/>
    </xf>
    <xf numFmtId="0" fontId="1" fillId="0" borderId="34" xfId="0" applyFont="1" applyBorder="1" applyAlignment="1">
      <alignment horizontal="center" vertical="center"/>
      <protection locked="0"/>
    </xf>
    <xf numFmtId="164" fontId="1" fillId="0" borderId="34" xfId="0" applyNumberFormat="1" applyFont="1" applyBorder="1">
      <protection locked="0"/>
    </xf>
    <xf numFmtId="164" fontId="1" fillId="0" borderId="4" xfId="0" applyNumberFormat="1" applyFont="1" applyBorder="1">
      <protection locked="0"/>
    </xf>
    <xf numFmtId="0" fontId="1" fillId="0" borderId="2" xfId="0" applyFont="1" applyBorder="1" applyAlignment="1">
      <alignment horizontal="center" vertical="center"/>
      <protection locked="0"/>
    </xf>
    <xf numFmtId="0" fontId="1" fillId="0" borderId="41" xfId="0" applyFont="1" applyBorder="1" applyAlignment="1">
      <alignment horizontal="center" vertical="center"/>
      <protection locked="0"/>
    </xf>
    <xf numFmtId="0" fontId="1" fillId="0" borderId="1" xfId="0" applyFont="1" applyBorder="1" applyAlignment="1">
      <alignment horizontal="center" vertical="center"/>
      <protection locked="0"/>
    </xf>
    <xf numFmtId="0" fontId="1" fillId="0" borderId="17" xfId="0" applyFont="1" applyBorder="1" applyAlignment="1">
      <alignment horizontal="center" vertical="center"/>
      <protection locked="0"/>
    </xf>
    <xf numFmtId="49" fontId="4" fillId="0" borderId="14" xfId="0" applyNumberFormat="1" applyFont="1" applyBorder="1" applyAlignment="1">
      <alignment horizontal="center" vertical="center"/>
      <protection locked="0"/>
    </xf>
    <xf numFmtId="49" fontId="4" fillId="0" borderId="15" xfId="0" applyNumberFormat="1" applyFont="1" applyBorder="1" applyAlignment="1">
      <alignment horizontal="center" vertical="center"/>
      <protection locked="0"/>
    </xf>
    <xf numFmtId="164" fontId="11" fillId="0" borderId="14" xfId="0" applyNumberFormat="1" applyFont="1" applyBorder="1" applyAlignment="1">
      <alignment horizontal="left" vertical="center" wrapText="1"/>
      <protection locked="0"/>
    </xf>
    <xf numFmtId="164" fontId="11" fillId="0" borderId="15" xfId="0" applyNumberFormat="1" applyFont="1" applyBorder="1" applyAlignment="1">
      <alignment horizontal="left" vertical="center" wrapText="1"/>
      <protection locked="0"/>
    </xf>
    <xf numFmtId="164" fontId="5" fillId="0" borderId="43" xfId="0" applyNumberFormat="1" applyFont="1" applyBorder="1" applyAlignment="1">
      <alignment horizontal="center" vertical="center"/>
      <protection locked="0"/>
    </xf>
    <xf numFmtId="164" fontId="5" fillId="0" borderId="44" xfId="0" applyNumberFormat="1" applyFont="1" applyBorder="1" applyAlignment="1">
      <alignment horizontal="center" vertical="center"/>
      <protection locked="0"/>
    </xf>
    <xf numFmtId="0" fontId="1" fillId="0" borderId="7" xfId="0" applyFont="1" applyBorder="1" applyAlignment="1">
      <alignment horizontal="center" vertical="center"/>
      <protection locked="0"/>
    </xf>
    <xf numFmtId="0" fontId="1" fillId="0" borderId="35" xfId="0" applyFont="1" applyBorder="1" applyAlignment="1">
      <alignment horizontal="center" vertical="center"/>
      <protection locked="0"/>
    </xf>
    <xf numFmtId="49" fontId="1" fillId="0" borderId="14" xfId="0" applyNumberFormat="1" applyFont="1" applyBorder="1" applyAlignment="1">
      <alignment horizontal="center" vertical="center"/>
      <protection locked="0"/>
    </xf>
    <xf numFmtId="49" fontId="1" fillId="0" borderId="15" xfId="0" applyNumberFormat="1" applyFont="1" applyBorder="1" applyAlignment="1">
      <alignment horizontal="center" vertical="center"/>
      <protection locked="0"/>
    </xf>
    <xf numFmtId="49" fontId="4" fillId="0" borderId="25" xfId="0" applyNumberFormat="1" applyFont="1" applyBorder="1" applyAlignment="1">
      <alignment horizontal="center" vertical="center"/>
      <protection locked="0"/>
    </xf>
    <xf numFmtId="165" fontId="3" fillId="0" borderId="22" xfId="0" applyNumberFormat="1" applyFont="1" applyBorder="1" applyAlignment="1">
      <alignment horizontal="center" vertical="center" wrapText="1"/>
      <protection locked="0"/>
    </xf>
    <xf numFmtId="165" fontId="4" fillId="0" borderId="11" xfId="0" applyNumberFormat="1" applyFont="1" applyBorder="1">
      <protection locked="0"/>
    </xf>
    <xf numFmtId="164" fontId="11" fillId="0" borderId="14" xfId="0" applyNumberFormat="1" applyFont="1" applyBorder="1" applyAlignment="1">
      <alignment vertical="center" wrapText="1"/>
      <protection locked="0"/>
    </xf>
    <xf numFmtId="164" fontId="11" fillId="0" borderId="15" xfId="0" applyNumberFormat="1" applyFont="1" applyBorder="1" applyAlignment="1">
      <alignment vertical="center" wrapText="1"/>
      <protection locked="0"/>
    </xf>
    <xf numFmtId="49" fontId="1" fillId="0" borderId="25" xfId="0" applyNumberFormat="1" applyFont="1" applyBorder="1" applyAlignment="1">
      <alignment horizontal="center" vertical="center"/>
      <protection locked="0"/>
    </xf>
    <xf numFmtId="164" fontId="11" fillId="0" borderId="25" xfId="0" applyNumberFormat="1" applyFont="1" applyBorder="1" applyAlignment="1">
      <alignment vertical="center" wrapText="1"/>
      <protection locked="0"/>
    </xf>
    <xf numFmtId="165" fontId="2" fillId="0" borderId="0" xfId="0" applyNumberFormat="1" applyFont="1" applyAlignment="1">
      <alignment horizontal="center"/>
      <protection locked="0"/>
    </xf>
    <xf numFmtId="0" fontId="10" fillId="0" borderId="24" xfId="0" applyFont="1" applyBorder="1" applyAlignment="1">
      <alignment horizontal="center" vertical="center" textRotation="90" wrapText="1"/>
      <protection locked="0"/>
    </xf>
    <xf numFmtId="0" fontId="10" fillId="0" borderId="25" xfId="0" applyFont="1" applyBorder="1" applyAlignment="1">
      <alignment horizontal="center" vertical="center" textRotation="90" wrapText="1"/>
      <protection locked="0"/>
    </xf>
    <xf numFmtId="0" fontId="10" fillId="0" borderId="27" xfId="0" applyFont="1" applyBorder="1" applyAlignment="1">
      <alignment horizontal="center" vertical="center" textRotation="90" wrapText="1"/>
      <protection locked="0"/>
    </xf>
    <xf numFmtId="0" fontId="3" fillId="0" borderId="7" xfId="0" applyFont="1" applyBorder="1" applyAlignment="1">
      <alignment horizontal="center" vertical="center" wrapText="1"/>
      <protection locked="0"/>
    </xf>
    <xf numFmtId="0" fontId="4" fillId="0" borderId="1" xfId="0" applyFont="1" applyBorder="1" applyAlignment="1">
      <alignment horizontal="center" vertical="center"/>
      <protection locked="0"/>
    </xf>
    <xf numFmtId="0" fontId="4" fillId="0" borderId="2" xfId="0" applyFont="1" applyBorder="1">
      <protection locked="0"/>
    </xf>
    <xf numFmtId="0" fontId="3" fillId="0" borderId="24" xfId="0" applyFont="1" applyBorder="1" applyAlignment="1">
      <alignment horizontal="center" vertical="center" wrapText="1"/>
      <protection locked="0"/>
    </xf>
    <xf numFmtId="0" fontId="3" fillId="0" borderId="25" xfId="0" applyFont="1" applyBorder="1" applyAlignment="1">
      <alignment horizontal="center" vertical="center" wrapText="1"/>
      <protection locked="0"/>
    </xf>
    <xf numFmtId="0" fontId="3" fillId="0" borderId="27" xfId="0" applyFont="1" applyBorder="1" applyAlignment="1">
      <alignment horizontal="center" vertical="center" wrapText="1"/>
      <protection locked="0"/>
    </xf>
    <xf numFmtId="0" fontId="3" fillId="0" borderId="24" xfId="0" applyFont="1" applyBorder="1" applyAlignment="1">
      <alignment horizontal="center" vertical="center" textRotation="90" wrapText="1"/>
      <protection locked="0"/>
    </xf>
    <xf numFmtId="0" fontId="3" fillId="0" borderId="25" xfId="0" applyFont="1" applyBorder="1" applyAlignment="1">
      <alignment horizontal="center" vertical="center" textRotation="90" wrapText="1"/>
      <protection locked="0"/>
    </xf>
    <xf numFmtId="0" fontId="3" fillId="0" borderId="27" xfId="0" applyFont="1" applyBorder="1" applyAlignment="1">
      <alignment horizontal="center" vertical="center" textRotation="90" wrapText="1"/>
      <protection locked="0"/>
    </xf>
    <xf numFmtId="165" fontId="3" fillId="0" borderId="34" xfId="0" applyNumberFormat="1" applyFont="1" applyBorder="1" applyAlignment="1">
      <alignment horizontal="center" vertical="center" wrapText="1"/>
      <protection locked="0"/>
    </xf>
    <xf numFmtId="165" fontId="4" fillId="0" borderId="40" xfId="0" applyNumberFormat="1" applyFont="1" applyBorder="1" applyAlignment="1">
      <alignment horizontal="center" vertical="center"/>
      <protection locked="0"/>
    </xf>
    <xf numFmtId="165" fontId="4" fillId="0" borderId="45" xfId="0" applyNumberFormat="1" applyFont="1" applyBorder="1">
      <protection locked="0"/>
    </xf>
    <xf numFmtId="165" fontId="3" fillId="0" borderId="7" xfId="0" applyNumberFormat="1" applyFont="1" applyBorder="1" applyAlignment="1">
      <alignment horizontal="center" vertical="center" wrapText="1"/>
      <protection locked="0"/>
    </xf>
    <xf numFmtId="165" fontId="3" fillId="0" borderId="35" xfId="0" applyNumberFormat="1" applyFont="1" applyBorder="1" applyAlignment="1">
      <alignment horizontal="center" vertical="center" wrapText="1"/>
      <protection locked="0"/>
    </xf>
    <xf numFmtId="165" fontId="3" fillId="0" borderId="1" xfId="0" applyNumberFormat="1" applyFont="1" applyBorder="1" applyAlignment="1">
      <alignment horizontal="center" vertical="center"/>
      <protection locked="0"/>
    </xf>
    <xf numFmtId="165" fontId="3" fillId="0" borderId="36" xfId="0" applyNumberFormat="1" applyFont="1" applyBorder="1" applyAlignment="1">
      <alignment horizontal="center" vertical="center"/>
      <protection locked="0"/>
    </xf>
    <xf numFmtId="165" fontId="3" fillId="0" borderId="37" xfId="0" applyNumberFormat="1" applyFont="1" applyBorder="1" applyAlignment="1">
      <alignment horizontal="center" vertical="center" wrapText="1"/>
      <protection locked="0"/>
    </xf>
    <xf numFmtId="165" fontId="3" fillId="0" borderId="26" xfId="0" applyNumberFormat="1" applyFont="1" applyBorder="1" applyAlignment="1">
      <alignment horizontal="center" vertical="center" wrapText="1"/>
      <protection locked="0"/>
    </xf>
    <xf numFmtId="165" fontId="3" fillId="0" borderId="28" xfId="0" applyNumberFormat="1" applyFont="1" applyBorder="1" applyAlignment="1">
      <alignment horizontal="center" vertical="center" wrapText="1"/>
      <protection locked="0"/>
    </xf>
    <xf numFmtId="165" fontId="3" fillId="0" borderId="21" xfId="0" applyNumberFormat="1" applyFont="1" applyBorder="1" applyAlignment="1">
      <alignment horizontal="center" vertical="center"/>
      <protection locked="0"/>
    </xf>
    <xf numFmtId="165" fontId="4" fillId="0" borderId="38" xfId="0" applyNumberFormat="1" applyFont="1" applyBorder="1">
      <protection locked="0"/>
    </xf>
    <xf numFmtId="165" fontId="4" fillId="0" borderId="56" xfId="0" applyNumberFormat="1" applyFont="1" applyBorder="1" applyAlignment="1">
      <protection locked="0"/>
    </xf>
    <xf numFmtId="165" fontId="4" fillId="0" borderId="52" xfId="0" applyNumberFormat="1" applyFont="1" applyBorder="1" applyAlignment="1">
      <protection locked="0"/>
    </xf>
    <xf numFmtId="0" fontId="3" fillId="0" borderId="6" xfId="0" applyFont="1" applyBorder="1" applyAlignment="1">
      <alignment horizontal="center" vertical="center" wrapText="1"/>
      <protection locked="0"/>
    </xf>
    <xf numFmtId="0" fontId="4" fillId="0" borderId="2" xfId="0" applyFont="1" applyBorder="1" applyAlignment="1">
      <protection locked="0"/>
    </xf>
    <xf numFmtId="165" fontId="3" fillId="0" borderId="5" xfId="0" applyNumberFormat="1" applyFont="1" applyBorder="1" applyAlignment="1">
      <alignment horizontal="center" vertical="center" wrapText="1"/>
      <protection locked="0"/>
    </xf>
    <xf numFmtId="165" fontId="3" fillId="0" borderId="15" xfId="0" applyNumberFormat="1" applyFont="1" applyBorder="1" applyAlignment="1">
      <alignment horizontal="center" vertical="center" wrapText="1"/>
      <protection locked="0"/>
    </xf>
    <xf numFmtId="165" fontId="4" fillId="0" borderId="3" xfId="0" applyNumberFormat="1" applyFont="1" applyBorder="1" applyAlignment="1">
      <alignment horizontal="center" vertical="center"/>
      <protection locked="0"/>
    </xf>
    <xf numFmtId="165" fontId="4" fillId="0" borderId="10" xfId="0" applyNumberFormat="1" applyFont="1" applyBorder="1" applyAlignment="1">
      <protection locked="0"/>
    </xf>
    <xf numFmtId="165" fontId="3" fillId="0" borderId="12" xfId="0" applyNumberFormat="1" applyFont="1" applyBorder="1" applyAlignment="1">
      <alignment horizontal="center" vertical="center" wrapText="1"/>
      <protection locked="0"/>
    </xf>
    <xf numFmtId="165" fontId="3" fillId="0" borderId="9" xfId="0" applyNumberFormat="1" applyFont="1" applyBorder="1" applyAlignment="1">
      <alignment horizontal="center" vertical="center" wrapText="1"/>
      <protection locked="0"/>
    </xf>
    <xf numFmtId="165" fontId="3" fillId="0" borderId="8" xfId="0" applyNumberFormat="1" applyFont="1" applyBorder="1" applyAlignment="1">
      <alignment horizontal="center" vertical="center" wrapText="1"/>
      <protection locked="0"/>
    </xf>
    <xf numFmtId="165" fontId="3" fillId="0" borderId="1" xfId="0" applyNumberFormat="1" applyFont="1" applyBorder="1" applyAlignment="1">
      <alignment horizontal="center" vertical="center" wrapText="1"/>
      <protection locked="0"/>
    </xf>
    <xf numFmtId="165" fontId="3" fillId="0" borderId="40" xfId="0" applyNumberFormat="1" applyFont="1" applyBorder="1" applyAlignment="1">
      <alignment horizontal="center" vertical="center" wrapText="1"/>
      <protection locked="0"/>
    </xf>
    <xf numFmtId="165" fontId="3" fillId="0" borderId="17" xfId="0" applyNumberFormat="1" applyFont="1" applyBorder="1" applyAlignment="1">
      <alignment horizontal="center" vertical="center" wrapText="1"/>
      <protection locked="0"/>
    </xf>
    <xf numFmtId="165" fontId="4" fillId="0" borderId="11" xfId="0" applyNumberFormat="1" applyFont="1" applyBorder="1" applyAlignment="1">
      <protection locked="0"/>
    </xf>
    <xf numFmtId="165" fontId="4" fillId="0" borderId="38" xfId="0" applyNumberFormat="1" applyFont="1" applyBorder="1" applyAlignment="1">
      <protection locked="0"/>
    </xf>
    <xf numFmtId="0" fontId="18" fillId="0" borderId="24" xfId="0" applyFont="1" applyBorder="1" applyAlignment="1">
      <alignment horizontal="center" vertical="center" textRotation="90" wrapText="1"/>
      <protection locked="0"/>
    </xf>
    <xf numFmtId="0" fontId="18" fillId="0" borderId="25" xfId="0" applyFont="1" applyBorder="1" applyAlignment="1">
      <alignment horizontal="center" vertical="center" textRotation="90" wrapText="1"/>
      <protection locked="0"/>
    </xf>
    <xf numFmtId="0" fontId="18" fillId="0" borderId="27" xfId="0" applyFont="1" applyBorder="1" applyAlignment="1">
      <alignment horizontal="center" vertical="center" textRotation="90" wrapText="1"/>
      <protection locked="0"/>
    </xf>
    <xf numFmtId="164" fontId="3" fillId="0" borderId="22" xfId="0" applyNumberFormat="1" applyFont="1" applyBorder="1" applyAlignment="1">
      <alignment horizontal="center" vertical="center" wrapText="1"/>
      <protection locked="0"/>
    </xf>
    <xf numFmtId="164" fontId="4" fillId="0" borderId="11" xfId="0" applyNumberFormat="1" applyFont="1" applyBorder="1" applyAlignment="1">
      <alignment wrapText="1"/>
      <protection locked="0"/>
    </xf>
    <xf numFmtId="0" fontId="3" fillId="0" borderId="14" xfId="0" applyFont="1" applyBorder="1" applyAlignment="1">
      <alignment horizontal="center" vertical="center"/>
      <protection locked="0"/>
    </xf>
    <xf numFmtId="0" fontId="3" fillId="0" borderId="25" xfId="0" applyFont="1" applyBorder="1" applyAlignment="1">
      <alignment horizontal="center" vertical="center"/>
      <protection locked="0"/>
    </xf>
    <xf numFmtId="0" fontId="3" fillId="0" borderId="15" xfId="0" applyFont="1" applyBorder="1" applyAlignment="1">
      <alignment horizontal="center" vertical="center"/>
      <protection locked="0"/>
    </xf>
    <xf numFmtId="0" fontId="5" fillId="0" borderId="31" xfId="0" applyFont="1" applyBorder="1" applyAlignment="1">
      <alignment horizontal="center"/>
      <protection locked="0"/>
    </xf>
    <xf numFmtId="0" fontId="5" fillId="0" borderId="32" xfId="0" applyFont="1" applyBorder="1" applyAlignment="1">
      <alignment horizontal="center"/>
      <protection locked="0"/>
    </xf>
    <xf numFmtId="165" fontId="2" fillId="0" borderId="0" xfId="0" applyNumberFormat="1" applyFont="1" applyAlignment="1">
      <alignment horizontal="center" vertical="center" wrapText="1"/>
      <protection locked="0"/>
    </xf>
    <xf numFmtId="164" fontId="3" fillId="0" borderId="5" xfId="0" applyNumberFormat="1" applyFont="1" applyBorder="1" applyAlignment="1">
      <alignment horizontal="center" vertical="center" wrapText="1"/>
      <protection locked="0"/>
    </xf>
    <xf numFmtId="164" fontId="3" fillId="0" borderId="15" xfId="0" applyNumberFormat="1" applyFont="1" applyBorder="1" applyAlignment="1">
      <alignment horizontal="center" vertical="center" wrapText="1"/>
      <protection locked="0"/>
    </xf>
    <xf numFmtId="164" fontId="4" fillId="0" borderId="3" xfId="0" applyNumberFormat="1" applyFont="1" applyBorder="1" applyAlignment="1">
      <alignment horizontal="center" vertical="center"/>
      <protection locked="0"/>
    </xf>
    <xf numFmtId="164" fontId="4" fillId="0" borderId="10" xfId="0" applyNumberFormat="1" applyFont="1" applyBorder="1">
      <protection locked="0"/>
    </xf>
    <xf numFmtId="164" fontId="3" fillId="0" borderId="59" xfId="0" applyNumberFormat="1" applyFont="1" applyBorder="1" applyAlignment="1">
      <alignment horizontal="center" vertical="center" wrapText="1"/>
      <protection locked="0"/>
    </xf>
    <xf numFmtId="164" fontId="3" fillId="0" borderId="9" xfId="0" applyNumberFormat="1" applyFont="1" applyBorder="1" applyAlignment="1">
      <alignment horizontal="center" vertical="center" wrapText="1"/>
      <protection locked="0"/>
    </xf>
    <xf numFmtId="164" fontId="3" fillId="0" borderId="8" xfId="0" applyNumberFormat="1" applyFont="1" applyBorder="1" applyAlignment="1">
      <alignment horizontal="center" vertical="center" wrapText="1"/>
      <protection locked="0"/>
    </xf>
    <xf numFmtId="164" fontId="3" fillId="0" borderId="36" xfId="0" applyNumberFormat="1" applyFont="1" applyBorder="1" applyAlignment="1">
      <alignment horizontal="center" vertical="center" wrapText="1"/>
      <protection locked="0"/>
    </xf>
    <xf numFmtId="164" fontId="3" fillId="0" borderId="23" xfId="0" applyNumberFormat="1" applyFont="1" applyBorder="1" applyAlignment="1">
      <alignment horizontal="center" vertical="center" wrapText="1"/>
      <protection locked="0"/>
    </xf>
    <xf numFmtId="164" fontId="3" fillId="0" borderId="36" xfId="0" applyNumberFormat="1" applyFont="1" applyBorder="1" applyAlignment="1">
      <alignment horizontal="center" vertical="center"/>
      <protection locked="0"/>
    </xf>
    <xf numFmtId="164" fontId="3" fillId="0" borderId="22" xfId="0" applyNumberFormat="1" applyFont="1" applyBorder="1" applyAlignment="1">
      <alignment horizontal="center" vertical="center"/>
      <protection locked="0"/>
    </xf>
    <xf numFmtId="164" fontId="3" fillId="0" borderId="13" xfId="0" applyNumberFormat="1" applyFont="1" applyBorder="1" applyAlignment="1">
      <alignment horizontal="center" vertical="center" wrapText="1"/>
      <protection locked="0"/>
    </xf>
    <xf numFmtId="164" fontId="4" fillId="0" borderId="58" xfId="0" applyNumberFormat="1" applyFont="1" applyBorder="1">
      <protection locked="0"/>
    </xf>
    <xf numFmtId="164" fontId="3" fillId="0" borderId="12" xfId="0" applyNumberFormat="1" applyFont="1" applyBorder="1" applyAlignment="1">
      <alignment horizontal="center" vertical="center" wrapText="1"/>
      <protection locked="0"/>
    </xf>
    <xf numFmtId="164" fontId="3" fillId="0" borderId="7" xfId="0" applyNumberFormat="1" applyFont="1" applyBorder="1" applyAlignment="1">
      <alignment horizontal="center" vertical="center" wrapText="1"/>
      <protection locked="0"/>
    </xf>
    <xf numFmtId="164" fontId="3" fillId="0" borderId="34" xfId="0" applyNumberFormat="1" applyFont="1" applyBorder="1" applyAlignment="1">
      <alignment horizontal="center" vertical="center" wrapText="1"/>
      <protection locked="0"/>
    </xf>
    <xf numFmtId="164" fontId="3" fillId="0" borderId="35" xfId="0" applyNumberFormat="1" applyFont="1" applyBorder="1" applyAlignment="1">
      <alignment horizontal="center" vertical="center" wrapText="1"/>
      <protection locked="0"/>
    </xf>
    <xf numFmtId="164" fontId="3" fillId="0" borderId="1" xfId="0" applyNumberFormat="1" applyFont="1" applyBorder="1" applyAlignment="1">
      <alignment horizontal="center" vertical="center" wrapText="1"/>
      <protection locked="0"/>
    </xf>
    <xf numFmtId="164" fontId="3" fillId="0" borderId="40" xfId="0" applyNumberFormat="1" applyFont="1" applyBorder="1" applyAlignment="1">
      <alignment horizontal="center" vertical="center" wrapText="1"/>
      <protection locked="0"/>
    </xf>
    <xf numFmtId="164" fontId="3" fillId="0" borderId="17" xfId="0" applyNumberFormat="1" applyFont="1" applyBorder="1" applyAlignment="1">
      <alignment horizontal="center" vertical="center" wrapText="1"/>
      <protection locked="0"/>
    </xf>
    <xf numFmtId="164" fontId="3" fillId="0" borderId="14" xfId="0" applyNumberFormat="1" applyFont="1" applyBorder="1" applyAlignment="1">
      <alignment horizontal="center" vertical="center" wrapText="1"/>
      <protection locked="0"/>
    </xf>
    <xf numFmtId="164" fontId="3" fillId="0" borderId="25" xfId="0" applyNumberFormat="1" applyFont="1" applyBorder="1" applyAlignment="1">
      <alignment horizontal="center" vertical="center" wrapText="1"/>
      <protection locked="0"/>
    </xf>
    <xf numFmtId="164" fontId="3" fillId="0" borderId="27" xfId="0" applyNumberFormat="1" applyFont="1" applyBorder="1" applyAlignment="1">
      <alignment horizontal="center" vertical="center" wrapText="1"/>
      <protection locked="0"/>
    </xf>
    <xf numFmtId="164" fontId="3" fillId="0" borderId="1" xfId="0" applyNumberFormat="1" applyFont="1" applyBorder="1" applyAlignment="1">
      <alignment horizontal="center" vertical="center"/>
      <protection locked="0"/>
    </xf>
    <xf numFmtId="164" fontId="3" fillId="0" borderId="37" xfId="0" applyNumberFormat="1" applyFont="1" applyBorder="1" applyAlignment="1">
      <alignment horizontal="center" vertical="center" wrapText="1"/>
      <protection locked="0"/>
    </xf>
    <xf numFmtId="164" fontId="3" fillId="0" borderId="26" xfId="0" applyNumberFormat="1" applyFont="1" applyBorder="1" applyAlignment="1">
      <alignment horizontal="center" vertical="center" wrapText="1"/>
      <protection locked="0"/>
    </xf>
    <xf numFmtId="164" fontId="3" fillId="0" borderId="28" xfId="0" applyNumberFormat="1" applyFont="1" applyBorder="1" applyAlignment="1">
      <alignment horizontal="center" vertical="center" wrapText="1"/>
      <protection locked="0"/>
    </xf>
    <xf numFmtId="164" fontId="3" fillId="0" borderId="21" xfId="0" applyNumberFormat="1" applyFont="1" applyBorder="1" applyAlignment="1">
      <alignment horizontal="center" vertical="center"/>
      <protection locked="0"/>
    </xf>
    <xf numFmtId="164" fontId="4" fillId="0" borderId="38" xfId="0" applyNumberFormat="1" applyFont="1" applyBorder="1">
      <protection locked="0"/>
    </xf>
    <xf numFmtId="164" fontId="4" fillId="0" borderId="11" xfId="0" applyNumberFormat="1" applyFont="1" applyBorder="1">
      <protection locked="0"/>
    </xf>
    <xf numFmtId="0" fontId="5" fillId="0" borderId="24" xfId="0" applyFont="1" applyBorder="1" applyAlignment="1">
      <alignment horizontal="center"/>
      <protection locked="0"/>
    </xf>
    <xf numFmtId="0" fontId="5" fillId="0" borderId="25" xfId="0" applyFont="1" applyBorder="1" applyAlignment="1">
      <alignment horizontal="center"/>
      <protection locked="0"/>
    </xf>
    <xf numFmtId="0" fontId="5" fillId="0" borderId="27" xfId="0" applyFont="1" applyBorder="1" applyAlignment="1">
      <alignment horizontal="center"/>
      <protection locked="0"/>
    </xf>
  </cellXfs>
  <cellStyles count="1">
    <cellStyle name="Įprastas" xfId="0" builtinId="0"/>
  </cellStyles>
  <dxfs count="4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5"/>
  <sheetViews>
    <sheetView tabSelected="1" workbookViewId="0">
      <selection activeCell="A7" sqref="A7:L7"/>
    </sheetView>
  </sheetViews>
  <sheetFormatPr defaultColWidth="9.140625" defaultRowHeight="12.75" x14ac:dyDescent="0.2"/>
  <cols>
    <col min="1" max="1" width="4.85546875" style="171" customWidth="1"/>
    <col min="2" max="2" width="45.85546875" style="171" customWidth="1"/>
    <col min="3" max="3" width="6.7109375" style="171" customWidth="1"/>
    <col min="4" max="4" width="7" style="171" customWidth="1"/>
    <col min="5" max="5" width="9.42578125" style="171" bestFit="1" customWidth="1"/>
    <col min="6" max="12" width="10.42578125" style="171" customWidth="1"/>
    <col min="13" max="16384" width="9.140625" style="171"/>
  </cols>
  <sheetData>
    <row r="1" spans="1:12" s="1" customFormat="1" ht="12" x14ac:dyDescent="0.2">
      <c r="A1" s="9"/>
      <c r="C1" s="13"/>
      <c r="D1" s="13"/>
      <c r="E1" s="8"/>
      <c r="F1" s="8"/>
      <c r="G1" s="8"/>
      <c r="I1" s="8" t="s">
        <v>4</v>
      </c>
      <c r="J1" s="8"/>
      <c r="K1" s="8"/>
    </row>
    <row r="2" spans="1:12" s="1" customFormat="1" ht="12" x14ac:dyDescent="0.2">
      <c r="A2" s="9"/>
      <c r="C2" s="13"/>
      <c r="D2" s="13"/>
      <c r="E2" s="8"/>
      <c r="F2" s="8"/>
      <c r="G2" s="8"/>
      <c r="I2" s="8" t="s">
        <v>199</v>
      </c>
      <c r="J2" s="8"/>
      <c r="K2" s="8"/>
    </row>
    <row r="3" spans="1:12" s="1" customFormat="1" ht="12" hidden="1" x14ac:dyDescent="0.2">
      <c r="A3" s="9"/>
      <c r="C3" s="13"/>
      <c r="D3" s="13"/>
      <c r="E3" s="8"/>
      <c r="F3" s="8"/>
      <c r="G3" s="8"/>
      <c r="I3" s="8" t="s">
        <v>198</v>
      </c>
      <c r="J3" s="8"/>
      <c r="K3" s="8"/>
    </row>
    <row r="4" spans="1:12" s="1" customFormat="1" ht="12" hidden="1" x14ac:dyDescent="0.2">
      <c r="A4" s="9"/>
      <c r="C4" s="13"/>
      <c r="D4" s="13"/>
      <c r="E4" s="8"/>
      <c r="F4" s="8"/>
      <c r="G4" s="8"/>
      <c r="I4" s="8" t="s">
        <v>186</v>
      </c>
      <c r="J4" s="8"/>
      <c r="K4" s="8"/>
    </row>
    <row r="5" spans="1:12" s="1" customFormat="1" ht="12" x14ac:dyDescent="0.2">
      <c r="A5" s="9"/>
      <c r="C5" s="13"/>
      <c r="D5" s="13"/>
      <c r="E5" s="8"/>
      <c r="F5" s="8"/>
      <c r="G5" s="8"/>
      <c r="I5" s="10" t="s">
        <v>149</v>
      </c>
      <c r="J5" s="8"/>
      <c r="K5" s="8"/>
    </row>
    <row r="6" spans="1:12" s="1" customFormat="1" ht="12" x14ac:dyDescent="0.2">
      <c r="A6" s="9"/>
      <c r="C6" s="13"/>
      <c r="D6" s="13"/>
      <c r="E6" s="10"/>
      <c r="F6" s="10"/>
      <c r="G6" s="10"/>
      <c r="H6" s="10"/>
      <c r="I6" s="10"/>
      <c r="J6" s="10"/>
      <c r="K6" s="10"/>
      <c r="L6" s="10"/>
    </row>
    <row r="7" spans="1:12" s="1" customFormat="1" ht="18" customHeight="1" x14ac:dyDescent="0.25">
      <c r="A7" s="437" t="s">
        <v>200</v>
      </c>
      <c r="B7" s="437"/>
      <c r="C7" s="437"/>
      <c r="D7" s="437"/>
      <c r="E7" s="437"/>
      <c r="F7" s="437"/>
      <c r="G7" s="437"/>
      <c r="H7" s="437"/>
      <c r="I7" s="437"/>
      <c r="J7" s="437"/>
      <c r="K7" s="437"/>
      <c r="L7" s="437"/>
    </row>
    <row r="8" spans="1:12" s="1" customFormat="1" ht="13.15" customHeight="1" x14ac:dyDescent="0.25">
      <c r="A8" s="9"/>
      <c r="B8" s="138"/>
      <c r="C8" s="138"/>
      <c r="D8" s="138"/>
      <c r="E8" s="138"/>
      <c r="F8" s="138"/>
      <c r="G8" s="138"/>
      <c r="H8" s="138"/>
      <c r="I8" s="138"/>
      <c r="J8" s="138"/>
      <c r="K8" s="138"/>
      <c r="L8" s="138"/>
    </row>
    <row r="9" spans="1:12" s="1" customFormat="1" thickBot="1" x14ac:dyDescent="0.25">
      <c r="A9" s="9"/>
      <c r="C9" s="13"/>
      <c r="D9" s="13"/>
      <c r="E9" s="8"/>
      <c r="F9" s="8"/>
      <c r="G9" s="8"/>
      <c r="H9" s="14"/>
      <c r="I9" s="8"/>
      <c r="J9" s="8"/>
      <c r="K9" s="8"/>
      <c r="L9" s="14" t="s">
        <v>151</v>
      </c>
    </row>
    <row r="10" spans="1:12" s="2" customFormat="1" ht="13.9" customHeight="1" x14ac:dyDescent="0.2">
      <c r="A10" s="438" t="s">
        <v>95</v>
      </c>
      <c r="B10" s="441" t="s">
        <v>25</v>
      </c>
      <c r="C10" s="444" t="s">
        <v>6</v>
      </c>
      <c r="D10" s="447" t="s">
        <v>36</v>
      </c>
      <c r="E10" s="450" t="s">
        <v>0</v>
      </c>
      <c r="F10" s="453" t="s">
        <v>5</v>
      </c>
      <c r="G10" s="450"/>
      <c r="H10" s="454"/>
      <c r="I10" s="450" t="s">
        <v>0</v>
      </c>
      <c r="J10" s="453" t="s">
        <v>201</v>
      </c>
      <c r="K10" s="450"/>
      <c r="L10" s="454"/>
    </row>
    <row r="11" spans="1:12" s="3" customFormat="1" ht="12.75" customHeight="1" x14ac:dyDescent="0.2">
      <c r="A11" s="439"/>
      <c r="B11" s="442"/>
      <c r="C11" s="445"/>
      <c r="D11" s="448"/>
      <c r="E11" s="451"/>
      <c r="F11" s="455" t="s">
        <v>1</v>
      </c>
      <c r="G11" s="456"/>
      <c r="H11" s="457" t="s">
        <v>39</v>
      </c>
      <c r="I11" s="451"/>
      <c r="J11" s="455" t="s">
        <v>1</v>
      </c>
      <c r="K11" s="456"/>
      <c r="L11" s="457" t="s">
        <v>39</v>
      </c>
    </row>
    <row r="12" spans="1:12" s="3" customFormat="1" ht="12" customHeight="1" x14ac:dyDescent="0.2">
      <c r="A12" s="439"/>
      <c r="B12" s="442"/>
      <c r="C12" s="445"/>
      <c r="D12" s="448"/>
      <c r="E12" s="451"/>
      <c r="F12" s="460" t="s">
        <v>0</v>
      </c>
      <c r="G12" s="431" t="s">
        <v>38</v>
      </c>
      <c r="H12" s="458"/>
      <c r="I12" s="451"/>
      <c r="J12" s="460" t="s">
        <v>0</v>
      </c>
      <c r="K12" s="431" t="s">
        <v>38</v>
      </c>
      <c r="L12" s="458"/>
    </row>
    <row r="13" spans="1:12" s="1" customFormat="1" ht="20.25" customHeight="1" thickBot="1" x14ac:dyDescent="0.25">
      <c r="A13" s="440"/>
      <c r="B13" s="443"/>
      <c r="C13" s="446"/>
      <c r="D13" s="449"/>
      <c r="E13" s="452"/>
      <c r="F13" s="461"/>
      <c r="G13" s="432"/>
      <c r="H13" s="459"/>
      <c r="I13" s="452"/>
      <c r="J13" s="461"/>
      <c r="K13" s="432"/>
      <c r="L13" s="459"/>
    </row>
    <row r="14" spans="1:12" s="1" customFormat="1" ht="12.75" customHeight="1" x14ac:dyDescent="0.2">
      <c r="A14" s="31">
        <v>1</v>
      </c>
      <c r="B14" s="162">
        <v>2</v>
      </c>
      <c r="C14" s="32">
        <v>3</v>
      </c>
      <c r="D14" s="116">
        <v>4</v>
      </c>
      <c r="E14" s="76">
        <v>5</v>
      </c>
      <c r="F14" s="33">
        <v>6</v>
      </c>
      <c r="G14" s="34">
        <v>7</v>
      </c>
      <c r="H14" s="35">
        <v>8</v>
      </c>
      <c r="I14" s="76">
        <v>9</v>
      </c>
      <c r="J14" s="33">
        <v>10</v>
      </c>
      <c r="K14" s="34">
        <v>11</v>
      </c>
      <c r="L14" s="35">
        <v>12</v>
      </c>
    </row>
    <row r="15" spans="1:12" s="1" customFormat="1" ht="29.45" customHeight="1" x14ac:dyDescent="0.2">
      <c r="A15" s="36"/>
      <c r="B15" s="37" t="s">
        <v>20</v>
      </c>
      <c r="C15" s="140" t="s">
        <v>122</v>
      </c>
      <c r="D15" s="117"/>
      <c r="E15" s="95">
        <f>SUM(H15,F15)</f>
        <v>71.33</v>
      </c>
      <c r="F15" s="96">
        <f>SUM(F17)</f>
        <v>71.33</v>
      </c>
      <c r="G15" s="97">
        <f>SUM(G17)</f>
        <v>63.36</v>
      </c>
      <c r="H15" s="98">
        <f>H17</f>
        <v>0</v>
      </c>
      <c r="I15" s="95">
        <f>SUM(L15,J15)</f>
        <v>0</v>
      </c>
      <c r="J15" s="96"/>
      <c r="K15" s="97">
        <f>SUM(K17)</f>
        <v>0</v>
      </c>
      <c r="L15" s="98">
        <f>L17</f>
        <v>0</v>
      </c>
    </row>
    <row r="16" spans="1:12" s="1" customFormat="1" ht="18" customHeight="1" x14ac:dyDescent="0.2">
      <c r="A16" s="39"/>
      <c r="B16" s="6" t="s">
        <v>2</v>
      </c>
      <c r="C16" s="38"/>
      <c r="D16" s="131"/>
      <c r="E16" s="81"/>
      <c r="F16" s="82"/>
      <c r="G16" s="83"/>
      <c r="H16" s="84"/>
      <c r="I16" s="81"/>
      <c r="J16" s="82"/>
      <c r="K16" s="83"/>
      <c r="L16" s="84"/>
    </row>
    <row r="17" spans="1:12" s="1" customFormat="1" ht="29.45" customHeight="1" x14ac:dyDescent="0.2">
      <c r="A17" s="40" t="s">
        <v>23</v>
      </c>
      <c r="B17" s="41" t="s">
        <v>35</v>
      </c>
      <c r="C17" s="38" t="s">
        <v>22</v>
      </c>
      <c r="D17" s="131" t="s">
        <v>37</v>
      </c>
      <c r="E17" s="81">
        <f>SUM(F17,H17)</f>
        <v>71.33</v>
      </c>
      <c r="F17" s="82">
        <v>71.33</v>
      </c>
      <c r="G17" s="83">
        <v>63.36</v>
      </c>
      <c r="H17" s="84"/>
      <c r="I17" s="81">
        <f>SUM(J17,L17)</f>
        <v>0</v>
      </c>
      <c r="J17" s="82"/>
      <c r="K17" s="83"/>
      <c r="L17" s="84"/>
    </row>
    <row r="18" spans="1:12" s="4" customFormat="1" ht="25.15" customHeight="1" x14ac:dyDescent="0.2">
      <c r="A18" s="42"/>
      <c r="B18" s="43" t="s">
        <v>21</v>
      </c>
      <c r="C18" s="140" t="s">
        <v>123</v>
      </c>
      <c r="D18" s="117"/>
      <c r="E18" s="95">
        <f>SUM(H18,F18)</f>
        <v>14235.435000000001</v>
      </c>
      <c r="F18" s="96">
        <f>SUM(F23:F35)</f>
        <v>8395.01</v>
      </c>
      <c r="G18" s="97">
        <f>SUM(G23:G35)</f>
        <v>2710.1329999999998</v>
      </c>
      <c r="H18" s="98">
        <f>SUM(H23:H35)</f>
        <v>5840.4250000000011</v>
      </c>
      <c r="I18" s="95">
        <f>SUM(L18,J18)</f>
        <v>5004.308</v>
      </c>
      <c r="J18" s="96">
        <f>SUM(J23:J35)</f>
        <v>1214.441</v>
      </c>
      <c r="K18" s="97">
        <f>SUM(K23:K35)</f>
        <v>47.312999999999995</v>
      </c>
      <c r="L18" s="98">
        <f>SUM(L23:L35)</f>
        <v>3789.8670000000002</v>
      </c>
    </row>
    <row r="19" spans="1:12" s="4" customFormat="1" ht="15" customHeight="1" x14ac:dyDescent="0.2">
      <c r="A19" s="44"/>
      <c r="B19" s="6" t="s">
        <v>2</v>
      </c>
      <c r="C19" s="38"/>
      <c r="D19" s="117"/>
      <c r="E19" s="81"/>
      <c r="F19" s="82"/>
      <c r="G19" s="83"/>
      <c r="H19" s="84"/>
      <c r="I19" s="81"/>
      <c r="J19" s="82"/>
      <c r="K19" s="83"/>
      <c r="L19" s="84"/>
    </row>
    <row r="20" spans="1:12" s="4" customFormat="1" ht="21" customHeight="1" x14ac:dyDescent="0.25">
      <c r="A20" s="45"/>
      <c r="B20" s="145" t="s">
        <v>121</v>
      </c>
      <c r="C20" s="146"/>
      <c r="D20" s="147"/>
      <c r="E20" s="99">
        <f t="shared" ref="E20:E21" si="0">SUM(H20,F20)</f>
        <v>302</v>
      </c>
      <c r="F20" s="100">
        <f>99.5+161.5</f>
        <v>261</v>
      </c>
      <c r="G20" s="101">
        <f>80.4+13.75</f>
        <v>94.15</v>
      </c>
      <c r="H20" s="102">
        <v>41</v>
      </c>
      <c r="I20" s="99">
        <f>SUM(L20,J20)</f>
        <v>0</v>
      </c>
      <c r="J20" s="100"/>
      <c r="K20" s="101"/>
      <c r="L20" s="102"/>
    </row>
    <row r="21" spans="1:12" s="4" customFormat="1" ht="21" customHeight="1" x14ac:dyDescent="0.25">
      <c r="A21" s="45"/>
      <c r="B21" s="148" t="s">
        <v>195</v>
      </c>
      <c r="C21" s="146"/>
      <c r="D21" s="147"/>
      <c r="E21" s="99">
        <f t="shared" si="0"/>
        <v>130.07999999999998</v>
      </c>
      <c r="F21" s="100">
        <v>126.08</v>
      </c>
      <c r="G21" s="101">
        <v>112.2</v>
      </c>
      <c r="H21" s="102">
        <v>4</v>
      </c>
      <c r="I21" s="99"/>
      <c r="J21" s="100"/>
      <c r="K21" s="101"/>
      <c r="L21" s="102"/>
    </row>
    <row r="22" spans="1:12" s="4" customFormat="1" ht="30.75" customHeight="1" x14ac:dyDescent="0.25">
      <c r="A22" s="45"/>
      <c r="B22" s="149" t="s">
        <v>193</v>
      </c>
      <c r="C22" s="146"/>
      <c r="D22" s="147"/>
      <c r="E22" s="99">
        <f>SUM(H22,F22)</f>
        <v>332.2</v>
      </c>
      <c r="F22" s="100">
        <v>15.673</v>
      </c>
      <c r="G22" s="101"/>
      <c r="H22" s="102">
        <v>316.52699999999999</v>
      </c>
      <c r="I22" s="99">
        <f>SUM(L22,J22)</f>
        <v>0</v>
      </c>
      <c r="J22" s="100"/>
      <c r="K22" s="101"/>
      <c r="L22" s="102"/>
    </row>
    <row r="23" spans="1:12" s="4" customFormat="1" ht="23.45" customHeight="1" x14ac:dyDescent="0.2">
      <c r="A23" s="420" t="s">
        <v>23</v>
      </c>
      <c r="B23" s="433" t="s">
        <v>35</v>
      </c>
      <c r="C23" s="38" t="s">
        <v>124</v>
      </c>
      <c r="D23" s="131" t="s">
        <v>37</v>
      </c>
      <c r="E23" s="81">
        <f>SUM(F23,H23)</f>
        <v>3108.1420000000003</v>
      </c>
      <c r="F23" s="82">
        <f>J23+F22+F21+F20+1803.63+98+97.46</f>
        <v>2481.2650000000003</v>
      </c>
      <c r="G23" s="83">
        <f>K23+G22+G21+G20+1376.36+8.55+7.9+133.8</f>
        <v>1760.087</v>
      </c>
      <c r="H23" s="84">
        <f>H22+H21+H20+76+2+187.35</f>
        <v>626.87699999999995</v>
      </c>
      <c r="I23" s="81">
        <f t="shared" ref="I23:I35" si="1">SUM(J23,L23)</f>
        <v>79.421999999999997</v>
      </c>
      <c r="J23" s="82">
        <f>37.499+41.923</f>
        <v>79.421999999999997</v>
      </c>
      <c r="K23" s="83">
        <v>27.126999999999999</v>
      </c>
      <c r="L23" s="84"/>
    </row>
    <row r="24" spans="1:12" s="4" customFormat="1" ht="23.45" customHeight="1" x14ac:dyDescent="0.2">
      <c r="A24" s="421"/>
      <c r="B24" s="434"/>
      <c r="C24" s="38" t="s">
        <v>125</v>
      </c>
      <c r="D24" s="131" t="s">
        <v>52</v>
      </c>
      <c r="E24" s="81">
        <f t="shared" ref="E24:E39" si="2">SUM(F24,H24)</f>
        <v>130.19800000000001</v>
      </c>
      <c r="F24" s="82">
        <f>J24+100.5</f>
        <v>130.19800000000001</v>
      </c>
      <c r="G24" s="83"/>
      <c r="H24" s="84"/>
      <c r="I24" s="81">
        <f t="shared" si="1"/>
        <v>29.698</v>
      </c>
      <c r="J24" s="82">
        <v>29.698</v>
      </c>
      <c r="K24" s="83"/>
      <c r="L24" s="84"/>
    </row>
    <row r="25" spans="1:12" s="4" customFormat="1" ht="24.6" customHeight="1" x14ac:dyDescent="0.2">
      <c r="A25" s="46" t="s">
        <v>26</v>
      </c>
      <c r="B25" s="135" t="s">
        <v>42</v>
      </c>
      <c r="C25" s="38" t="s">
        <v>126</v>
      </c>
      <c r="D25" s="131" t="s">
        <v>37</v>
      </c>
      <c r="E25" s="81">
        <f t="shared" si="2"/>
        <v>77.372</v>
      </c>
      <c r="F25" s="82">
        <f>J25+25+1+4+1+20</f>
        <v>77.372</v>
      </c>
      <c r="G25" s="83"/>
      <c r="H25" s="84"/>
      <c r="I25" s="81">
        <f t="shared" si="1"/>
        <v>26.372</v>
      </c>
      <c r="J25" s="82">
        <v>26.372</v>
      </c>
      <c r="K25" s="83"/>
      <c r="L25" s="84"/>
    </row>
    <row r="26" spans="1:12" s="4" customFormat="1" ht="24.6" customHeight="1" x14ac:dyDescent="0.2">
      <c r="A26" s="137" t="s">
        <v>32</v>
      </c>
      <c r="B26" s="47" t="s">
        <v>117</v>
      </c>
      <c r="C26" s="38" t="s">
        <v>127</v>
      </c>
      <c r="D26" s="131" t="s">
        <v>37</v>
      </c>
      <c r="E26" s="81">
        <f>SUM(F26,H26)</f>
        <v>208.26100000000002</v>
      </c>
      <c r="F26" s="82">
        <f>J26+20.501</f>
        <v>90.501000000000005</v>
      </c>
      <c r="G26" s="83">
        <f>K26</f>
        <v>18.649000000000001</v>
      </c>
      <c r="H26" s="84">
        <f>L26</f>
        <v>117.76</v>
      </c>
      <c r="I26" s="81">
        <f t="shared" si="1"/>
        <v>187.76</v>
      </c>
      <c r="J26" s="82">
        <f>40+30</f>
        <v>70</v>
      </c>
      <c r="K26" s="83">
        <v>18.649000000000001</v>
      </c>
      <c r="L26" s="84">
        <v>117.76</v>
      </c>
    </row>
    <row r="27" spans="1:12" s="4" customFormat="1" ht="32.25" customHeight="1" x14ac:dyDescent="0.2">
      <c r="A27" s="137" t="s">
        <v>31</v>
      </c>
      <c r="B27" s="47" t="s">
        <v>44</v>
      </c>
      <c r="C27" s="38" t="s">
        <v>128</v>
      </c>
      <c r="D27" s="131" t="s">
        <v>37</v>
      </c>
      <c r="E27" s="81">
        <f t="shared" si="2"/>
        <v>73.5</v>
      </c>
      <c r="F27" s="82">
        <f>J27+58.5</f>
        <v>73.5</v>
      </c>
      <c r="G27" s="83"/>
      <c r="H27" s="84"/>
      <c r="I27" s="81">
        <f t="shared" si="1"/>
        <v>15</v>
      </c>
      <c r="J27" s="82">
        <v>15</v>
      </c>
      <c r="K27" s="83"/>
      <c r="L27" s="84"/>
    </row>
    <row r="28" spans="1:12" s="4" customFormat="1" ht="23.25" customHeight="1" x14ac:dyDescent="0.2">
      <c r="A28" s="137" t="s">
        <v>40</v>
      </c>
      <c r="B28" s="47" t="s">
        <v>115</v>
      </c>
      <c r="C28" s="38" t="s">
        <v>129</v>
      </c>
      <c r="D28" s="131" t="s">
        <v>37</v>
      </c>
      <c r="E28" s="81">
        <f t="shared" si="2"/>
        <v>200.18900000000002</v>
      </c>
      <c r="F28" s="82">
        <f>J28+110.1</f>
        <v>128.38900000000001</v>
      </c>
      <c r="G28" s="83"/>
      <c r="H28" s="84">
        <v>71.8</v>
      </c>
      <c r="I28" s="81">
        <f t="shared" si="1"/>
        <v>18.289000000000001</v>
      </c>
      <c r="J28" s="82">
        <v>18.289000000000001</v>
      </c>
      <c r="K28" s="83"/>
      <c r="L28" s="84"/>
    </row>
    <row r="29" spans="1:12" s="4" customFormat="1" ht="25.5" customHeight="1" x14ac:dyDescent="0.2">
      <c r="A29" s="133" t="s">
        <v>24</v>
      </c>
      <c r="B29" s="135" t="s">
        <v>45</v>
      </c>
      <c r="C29" s="38" t="s">
        <v>130</v>
      </c>
      <c r="D29" s="131" t="s">
        <v>37</v>
      </c>
      <c r="E29" s="81">
        <f t="shared" si="2"/>
        <v>2321.73</v>
      </c>
      <c r="F29" s="82">
        <f>J29+1149+133.65</f>
        <v>1336.796</v>
      </c>
      <c r="G29" s="83"/>
      <c r="H29" s="84">
        <f>L29+323.879+61</f>
        <v>984.93400000000008</v>
      </c>
      <c r="I29" s="81">
        <f t="shared" si="1"/>
        <v>654.20100000000002</v>
      </c>
      <c r="J29" s="82">
        <f>51.146+3</f>
        <v>54.146000000000001</v>
      </c>
      <c r="K29" s="83"/>
      <c r="L29" s="84">
        <f>346.934+176.121+77</f>
        <v>600.05500000000006</v>
      </c>
    </row>
    <row r="30" spans="1:12" s="4" customFormat="1" ht="27" customHeight="1" x14ac:dyDescent="0.2">
      <c r="A30" s="137" t="s">
        <v>34</v>
      </c>
      <c r="B30" s="47" t="s">
        <v>46</v>
      </c>
      <c r="C30" s="48" t="s">
        <v>131</v>
      </c>
      <c r="D30" s="131" t="s">
        <v>37</v>
      </c>
      <c r="E30" s="81">
        <f t="shared" si="2"/>
        <v>29.617000000000001</v>
      </c>
      <c r="F30" s="82">
        <v>1.84</v>
      </c>
      <c r="G30" s="83"/>
      <c r="H30" s="84">
        <f>L30</f>
        <v>27.777000000000001</v>
      </c>
      <c r="I30" s="81">
        <f t="shared" si="1"/>
        <v>27.777000000000001</v>
      </c>
      <c r="J30" s="82"/>
      <c r="K30" s="83"/>
      <c r="L30" s="84">
        <v>27.777000000000001</v>
      </c>
    </row>
    <row r="31" spans="1:12" s="4" customFormat="1" ht="24.75" customHeight="1" x14ac:dyDescent="0.2">
      <c r="A31" s="136" t="s">
        <v>33</v>
      </c>
      <c r="B31" s="135" t="s">
        <v>47</v>
      </c>
      <c r="C31" s="38" t="s">
        <v>132</v>
      </c>
      <c r="D31" s="131" t="s">
        <v>37</v>
      </c>
      <c r="E31" s="81">
        <f t="shared" si="2"/>
        <v>2659.4670000000001</v>
      </c>
      <c r="F31" s="82">
        <f>J31+2056.13+210+43.9+122.7+111</f>
        <v>2551.8789999999999</v>
      </c>
      <c r="G31" s="83">
        <f>K31+929.86</f>
        <v>930.39700000000005</v>
      </c>
      <c r="H31" s="84">
        <f>L31+7+10</f>
        <v>107.58799999999999</v>
      </c>
      <c r="I31" s="81">
        <f t="shared" si="1"/>
        <v>98.736999999999995</v>
      </c>
      <c r="J31" s="82">
        <v>8.1489999999999991</v>
      </c>
      <c r="K31" s="83">
        <v>0.53700000000000003</v>
      </c>
      <c r="L31" s="84">
        <v>90.587999999999994</v>
      </c>
    </row>
    <row r="32" spans="1:12" s="4" customFormat="1" ht="24.75" customHeight="1" x14ac:dyDescent="0.2">
      <c r="A32" s="136" t="s">
        <v>41</v>
      </c>
      <c r="B32" s="135" t="s">
        <v>48</v>
      </c>
      <c r="C32" s="38" t="s">
        <v>133</v>
      </c>
      <c r="D32" s="131" t="s">
        <v>37</v>
      </c>
      <c r="E32" s="81">
        <f t="shared" si="2"/>
        <v>1387.9570000000001</v>
      </c>
      <c r="F32" s="82">
        <f>J32+115.2</f>
        <v>164.34300000000002</v>
      </c>
      <c r="G32" s="83">
        <f>K32</f>
        <v>1</v>
      </c>
      <c r="H32" s="84">
        <f>115+L32+25</f>
        <v>1223.614</v>
      </c>
      <c r="I32" s="81">
        <f>SUM(J32,L32)</f>
        <v>1132.7570000000001</v>
      </c>
      <c r="J32" s="82">
        <f>6.105+16+5.788+21.25</f>
        <v>49.143000000000001</v>
      </c>
      <c r="K32" s="83">
        <v>1</v>
      </c>
      <c r="L32" s="84">
        <v>1083.614</v>
      </c>
    </row>
    <row r="33" spans="1:12" s="4" customFormat="1" ht="24.75" customHeight="1" x14ac:dyDescent="0.2">
      <c r="A33" s="428" t="s">
        <v>7</v>
      </c>
      <c r="B33" s="433" t="s">
        <v>49</v>
      </c>
      <c r="C33" s="38" t="s">
        <v>134</v>
      </c>
      <c r="D33" s="131" t="s">
        <v>37</v>
      </c>
      <c r="E33" s="81">
        <f t="shared" si="2"/>
        <v>3677.4750000000004</v>
      </c>
      <c r="F33" s="82">
        <f>J33+126.2+69.7+34+233.7</f>
        <v>1313.3220000000001</v>
      </c>
      <c r="G33" s="83"/>
      <c r="H33" s="84">
        <f>L33+436.28+57.8</f>
        <v>2364.1530000000002</v>
      </c>
      <c r="I33" s="81">
        <f t="shared" si="1"/>
        <v>2719.7950000000001</v>
      </c>
      <c r="J33" s="82">
        <f>2.686+330.752+516.284</f>
        <v>849.72199999999998</v>
      </c>
      <c r="K33" s="83"/>
      <c r="L33" s="84">
        <f>60+643.038-0.475+1167.51</f>
        <v>1870.0729999999999</v>
      </c>
    </row>
    <row r="34" spans="1:12" s="4" customFormat="1" ht="24.75" customHeight="1" x14ac:dyDescent="0.2">
      <c r="A34" s="435"/>
      <c r="B34" s="436"/>
      <c r="C34" s="38" t="s">
        <v>135</v>
      </c>
      <c r="D34" s="180" t="s">
        <v>52</v>
      </c>
      <c r="E34" s="81">
        <f t="shared" si="2"/>
        <v>45</v>
      </c>
      <c r="F34" s="82">
        <f>J34+30.5</f>
        <v>45</v>
      </c>
      <c r="G34" s="83"/>
      <c r="H34" s="84"/>
      <c r="I34" s="81">
        <f>J34+L34</f>
        <v>14.5</v>
      </c>
      <c r="J34" s="82">
        <v>14.5</v>
      </c>
      <c r="K34" s="83"/>
      <c r="L34" s="84"/>
    </row>
    <row r="35" spans="1:12" s="16" customFormat="1" ht="27.6" customHeight="1" x14ac:dyDescent="0.2">
      <c r="A35" s="429"/>
      <c r="B35" s="434"/>
      <c r="C35" s="38" t="s">
        <v>203</v>
      </c>
      <c r="D35" s="131" t="s">
        <v>116</v>
      </c>
      <c r="E35" s="81">
        <f t="shared" si="2"/>
        <v>316.52700000000004</v>
      </c>
      <c r="F35" s="82">
        <f>F37+F38</f>
        <v>0.60499999999999998</v>
      </c>
      <c r="G35" s="83"/>
      <c r="H35" s="84">
        <f>H37+H38</f>
        <v>315.92200000000003</v>
      </c>
      <c r="I35" s="81">
        <f t="shared" si="1"/>
        <v>0</v>
      </c>
      <c r="J35" s="82"/>
      <c r="K35" s="83"/>
      <c r="L35" s="84"/>
    </row>
    <row r="36" spans="1:12" s="16" customFormat="1" ht="12.75" customHeight="1" x14ac:dyDescent="0.2">
      <c r="A36" s="137"/>
      <c r="B36" s="28" t="s">
        <v>2</v>
      </c>
      <c r="C36" s="38"/>
      <c r="D36" s="131"/>
      <c r="E36" s="81"/>
      <c r="F36" s="82"/>
      <c r="G36" s="83"/>
      <c r="H36" s="84"/>
      <c r="I36" s="81"/>
      <c r="J36" s="82"/>
      <c r="K36" s="83"/>
      <c r="L36" s="84"/>
    </row>
    <row r="37" spans="1:12" s="16" customFormat="1" ht="42.75" customHeight="1" x14ac:dyDescent="0.2">
      <c r="A37" s="137"/>
      <c r="B37" s="134" t="s">
        <v>202</v>
      </c>
      <c r="C37" s="49" t="s">
        <v>204</v>
      </c>
      <c r="D37" s="118" t="s">
        <v>116</v>
      </c>
      <c r="E37" s="111">
        <f t="shared" si="2"/>
        <v>0.60499999999999998</v>
      </c>
      <c r="F37" s="112">
        <v>0.60499999999999998</v>
      </c>
      <c r="G37" s="83"/>
      <c r="H37" s="84"/>
      <c r="I37" s="81">
        <f t="shared" ref="I37:I39" si="3">SUM(J37,L37)</f>
        <v>0</v>
      </c>
      <c r="J37" s="82"/>
      <c r="K37" s="83"/>
      <c r="L37" s="84"/>
    </row>
    <row r="38" spans="1:12" s="16" customFormat="1" ht="40.5" customHeight="1" x14ac:dyDescent="0.2">
      <c r="A38" s="137"/>
      <c r="B38" s="134" t="s">
        <v>192</v>
      </c>
      <c r="C38" s="49" t="s">
        <v>205</v>
      </c>
      <c r="D38" s="118" t="s">
        <v>116</v>
      </c>
      <c r="E38" s="111">
        <f t="shared" si="2"/>
        <v>315.92200000000003</v>
      </c>
      <c r="F38" s="112"/>
      <c r="G38" s="113"/>
      <c r="H38" s="114">
        <v>315.92200000000003</v>
      </c>
      <c r="I38" s="81">
        <f t="shared" si="3"/>
        <v>0</v>
      </c>
      <c r="J38" s="82"/>
      <c r="K38" s="83"/>
      <c r="L38" s="84"/>
    </row>
    <row r="39" spans="1:12" s="16" customFormat="1" ht="39.75" hidden="1" customHeight="1" x14ac:dyDescent="0.2">
      <c r="A39" s="137"/>
      <c r="B39" s="134" t="s">
        <v>158</v>
      </c>
      <c r="C39" s="49" t="s">
        <v>157</v>
      </c>
      <c r="D39" s="118" t="s">
        <v>116</v>
      </c>
      <c r="E39" s="81">
        <f t="shared" si="2"/>
        <v>0</v>
      </c>
      <c r="F39" s="82"/>
      <c r="G39" s="83"/>
      <c r="H39" s="84"/>
      <c r="I39" s="81">
        <f t="shared" si="3"/>
        <v>0</v>
      </c>
      <c r="J39" s="82"/>
      <c r="K39" s="83"/>
      <c r="L39" s="84"/>
    </row>
    <row r="40" spans="1:12" s="4" customFormat="1" ht="20.25" customHeight="1" x14ac:dyDescent="0.2">
      <c r="A40" s="50"/>
      <c r="B40" s="43" t="s">
        <v>8</v>
      </c>
      <c r="C40" s="51" t="s">
        <v>136</v>
      </c>
      <c r="D40" s="120"/>
      <c r="E40" s="95">
        <f>SUM(F40,H40)</f>
        <v>291.34999999999997</v>
      </c>
      <c r="F40" s="96">
        <f>SUM(F42:F45)</f>
        <v>290.84999999999997</v>
      </c>
      <c r="G40" s="97">
        <f>SUM(G42:G45)</f>
        <v>207.58999999999997</v>
      </c>
      <c r="H40" s="98">
        <f>SUM(H42:H45)</f>
        <v>0.5</v>
      </c>
      <c r="I40" s="95">
        <f>SUM(J40,L40)</f>
        <v>0.4</v>
      </c>
      <c r="J40" s="96">
        <f>SUM(J42:J45)</f>
        <v>0.4</v>
      </c>
      <c r="K40" s="97">
        <f>SUM(K42:K45)</f>
        <v>0.39</v>
      </c>
      <c r="L40" s="98">
        <f>SUM(L42:L45)</f>
        <v>0</v>
      </c>
    </row>
    <row r="41" spans="1:12" s="4" customFormat="1" ht="18" customHeight="1" x14ac:dyDescent="0.2">
      <c r="A41" s="44"/>
      <c r="B41" s="6" t="s">
        <v>2</v>
      </c>
      <c r="C41" s="53"/>
      <c r="D41" s="119"/>
      <c r="E41" s="81"/>
      <c r="F41" s="82"/>
      <c r="G41" s="83"/>
      <c r="H41" s="84"/>
      <c r="I41" s="81"/>
      <c r="J41" s="82"/>
      <c r="K41" s="83"/>
      <c r="L41" s="84"/>
    </row>
    <row r="42" spans="1:12" s="4" customFormat="1" ht="17.25" customHeight="1" x14ac:dyDescent="0.2">
      <c r="A42" s="420" t="s">
        <v>26</v>
      </c>
      <c r="B42" s="422" t="s">
        <v>42</v>
      </c>
      <c r="C42" s="52" t="s">
        <v>27</v>
      </c>
      <c r="D42" s="119" t="s">
        <v>37</v>
      </c>
      <c r="E42" s="81">
        <f>SUM(F42,H42)</f>
        <v>263.45999999999998</v>
      </c>
      <c r="F42" s="82">
        <f>J42+261.99+0.57</f>
        <v>262.95999999999998</v>
      </c>
      <c r="G42" s="83">
        <f>K42+207.2</f>
        <v>207.58999999999997</v>
      </c>
      <c r="H42" s="84">
        <v>0.5</v>
      </c>
      <c r="I42" s="81">
        <f>SUM(J42,L42)</f>
        <v>0.4</v>
      </c>
      <c r="J42" s="82">
        <v>0.4</v>
      </c>
      <c r="K42" s="83">
        <v>0.39</v>
      </c>
      <c r="L42" s="84"/>
    </row>
    <row r="43" spans="1:12" s="4" customFormat="1" ht="22.5" customHeight="1" x14ac:dyDescent="0.2">
      <c r="A43" s="421"/>
      <c r="B43" s="423"/>
      <c r="C43" s="52" t="s">
        <v>50</v>
      </c>
      <c r="D43" s="131" t="s">
        <v>52</v>
      </c>
      <c r="E43" s="81">
        <f>SUM(F43,H43)</f>
        <v>26.4</v>
      </c>
      <c r="F43" s="82">
        <v>26.4</v>
      </c>
      <c r="G43" s="83"/>
      <c r="H43" s="84"/>
      <c r="I43" s="81">
        <f>SUM(J43,L43)</f>
        <v>0</v>
      </c>
      <c r="J43" s="82"/>
      <c r="K43" s="83"/>
      <c r="L43" s="84"/>
    </row>
    <row r="44" spans="1:12" s="4" customFormat="1" ht="23.25" customHeight="1" x14ac:dyDescent="0.2">
      <c r="A44" s="131" t="s">
        <v>33</v>
      </c>
      <c r="B44" s="28" t="s">
        <v>47</v>
      </c>
      <c r="C44" s="52" t="s">
        <v>51</v>
      </c>
      <c r="D44" s="131" t="s">
        <v>37</v>
      </c>
      <c r="E44" s="81">
        <f>SUM(F44,H44)</f>
        <v>1.49</v>
      </c>
      <c r="F44" s="82">
        <v>1.49</v>
      </c>
      <c r="G44" s="83"/>
      <c r="H44" s="84"/>
      <c r="I44" s="81">
        <f>SUM(J44,L44)</f>
        <v>0</v>
      </c>
      <c r="J44" s="82"/>
      <c r="K44" s="83"/>
      <c r="L44" s="84"/>
    </row>
    <row r="45" spans="1:12" s="4" customFormat="1" ht="22.5" hidden="1" customHeight="1" x14ac:dyDescent="0.2">
      <c r="A45" s="131" t="s">
        <v>7</v>
      </c>
      <c r="B45" s="28" t="s">
        <v>49</v>
      </c>
      <c r="C45" s="52" t="s">
        <v>140</v>
      </c>
      <c r="D45" s="131" t="s">
        <v>37</v>
      </c>
      <c r="E45" s="81">
        <f>SUM(F45,H45)</f>
        <v>0</v>
      </c>
      <c r="F45" s="82"/>
      <c r="G45" s="83"/>
      <c r="H45" s="84"/>
      <c r="I45" s="81">
        <f>SUM(J45,L45)</f>
        <v>0</v>
      </c>
      <c r="J45" s="82"/>
      <c r="K45" s="83"/>
      <c r="L45" s="84"/>
    </row>
    <row r="46" spans="1:12" s="1" customFormat="1" ht="21.75" customHeight="1" x14ac:dyDescent="0.2">
      <c r="A46" s="42"/>
      <c r="B46" s="43" t="s">
        <v>153</v>
      </c>
      <c r="C46" s="51" t="s">
        <v>139</v>
      </c>
      <c r="D46" s="119"/>
      <c r="E46" s="95">
        <f>SUM(F46,H46)</f>
        <v>331.21</v>
      </c>
      <c r="F46" s="96">
        <f>SUM(F48:F52)</f>
        <v>330.71</v>
      </c>
      <c r="G46" s="97">
        <f>SUM(G48:G51)</f>
        <v>217.69499999999999</v>
      </c>
      <c r="H46" s="98">
        <f>SUM(H48:H51)</f>
        <v>0.5</v>
      </c>
      <c r="I46" s="95">
        <f>SUM(J46,L46)</f>
        <v>17.61</v>
      </c>
      <c r="J46" s="96">
        <f>SUM(J48:J50)</f>
        <v>17.61</v>
      </c>
      <c r="K46" s="97">
        <f>SUM(K48:K50)</f>
        <v>13.154999999999999</v>
      </c>
      <c r="L46" s="98">
        <f>SUM(L48:L50)</f>
        <v>0</v>
      </c>
    </row>
    <row r="47" spans="1:12" s="4" customFormat="1" ht="14.25" customHeight="1" x14ac:dyDescent="0.2">
      <c r="A47" s="44"/>
      <c r="B47" s="6" t="s">
        <v>2</v>
      </c>
      <c r="C47" s="53"/>
      <c r="D47" s="119"/>
      <c r="E47" s="81"/>
      <c r="F47" s="82"/>
      <c r="G47" s="83"/>
      <c r="H47" s="84"/>
      <c r="I47" s="81"/>
      <c r="J47" s="82"/>
      <c r="K47" s="83"/>
      <c r="L47" s="84"/>
    </row>
    <row r="48" spans="1:12" s="4" customFormat="1" ht="18" customHeight="1" x14ac:dyDescent="0.2">
      <c r="A48" s="420" t="s">
        <v>26</v>
      </c>
      <c r="B48" s="422" t="s">
        <v>42</v>
      </c>
      <c r="C48" s="52" t="s">
        <v>28</v>
      </c>
      <c r="D48" s="119" t="s">
        <v>37</v>
      </c>
      <c r="E48" s="81">
        <f>SUM(F48,H48)</f>
        <v>294.18499999999995</v>
      </c>
      <c r="F48" s="82">
        <f>J48+275.09+1.09</f>
        <v>293.68499999999995</v>
      </c>
      <c r="G48" s="83">
        <f>K48+204.54</f>
        <v>217.69499999999999</v>
      </c>
      <c r="H48" s="84">
        <v>0.5</v>
      </c>
      <c r="I48" s="81">
        <f>SUM(J48,L48)</f>
        <v>17.504999999999999</v>
      </c>
      <c r="J48" s="82">
        <f>2.865+11.1+3.54</f>
        <v>17.504999999999999</v>
      </c>
      <c r="K48" s="83">
        <f>2.215+10.94</f>
        <v>13.154999999999999</v>
      </c>
      <c r="L48" s="84"/>
    </row>
    <row r="49" spans="1:12" s="4" customFormat="1" ht="21.6" customHeight="1" x14ac:dyDescent="0.2">
      <c r="A49" s="421"/>
      <c r="B49" s="423"/>
      <c r="C49" s="52" t="s">
        <v>29</v>
      </c>
      <c r="D49" s="131" t="s">
        <v>52</v>
      </c>
      <c r="E49" s="81">
        <f>SUM(F49,H49)</f>
        <v>32.604999999999997</v>
      </c>
      <c r="F49" s="82">
        <f>J49+32.5</f>
        <v>32.604999999999997</v>
      </c>
      <c r="G49" s="83"/>
      <c r="H49" s="84"/>
      <c r="I49" s="81">
        <f>SUM(J49,L49)</f>
        <v>0.105</v>
      </c>
      <c r="J49" s="82">
        <v>0.105</v>
      </c>
      <c r="K49" s="83"/>
      <c r="L49" s="84"/>
    </row>
    <row r="50" spans="1:12" s="4" customFormat="1" ht="21.6" customHeight="1" x14ac:dyDescent="0.2">
      <c r="A50" s="131" t="s">
        <v>33</v>
      </c>
      <c r="B50" s="28" t="s">
        <v>47</v>
      </c>
      <c r="C50" s="52" t="s">
        <v>53</v>
      </c>
      <c r="D50" s="131" t="s">
        <v>37</v>
      </c>
      <c r="E50" s="81">
        <f>SUM(F50,H50)</f>
        <v>1.42</v>
      </c>
      <c r="F50" s="82">
        <v>1.42</v>
      </c>
      <c r="G50" s="83"/>
      <c r="H50" s="84"/>
      <c r="I50" s="81">
        <f>SUM(J50,L50)</f>
        <v>0</v>
      </c>
      <c r="J50" s="82"/>
      <c r="K50" s="83"/>
      <c r="L50" s="84"/>
    </row>
    <row r="51" spans="1:12" s="4" customFormat="1" ht="21.6" hidden="1" customHeight="1" x14ac:dyDescent="0.2">
      <c r="A51" s="420" t="s">
        <v>7</v>
      </c>
      <c r="B51" s="422" t="s">
        <v>49</v>
      </c>
      <c r="C51" s="52"/>
      <c r="D51" s="131" t="s">
        <v>37</v>
      </c>
      <c r="E51" s="81">
        <f t="shared" ref="E51:E52" si="4">SUM(F51,H51)</f>
        <v>0</v>
      </c>
      <c r="F51" s="82"/>
      <c r="G51" s="83"/>
      <c r="H51" s="84"/>
      <c r="I51" s="81"/>
      <c r="J51" s="82"/>
      <c r="K51" s="83"/>
      <c r="L51" s="84"/>
    </row>
    <row r="52" spans="1:12" s="4" customFormat="1" ht="21.6" customHeight="1" x14ac:dyDescent="0.2">
      <c r="A52" s="421"/>
      <c r="B52" s="423"/>
      <c r="C52" s="52" t="s">
        <v>177</v>
      </c>
      <c r="D52" s="180" t="s">
        <v>52</v>
      </c>
      <c r="E52" s="81">
        <f t="shared" si="4"/>
        <v>3</v>
      </c>
      <c r="F52" s="82">
        <v>3</v>
      </c>
      <c r="G52" s="83"/>
      <c r="H52" s="84"/>
      <c r="I52" s="81"/>
      <c r="J52" s="82"/>
      <c r="K52" s="83"/>
      <c r="L52" s="84"/>
    </row>
    <row r="53" spans="1:12" s="1" customFormat="1" ht="18" customHeight="1" x14ac:dyDescent="0.2">
      <c r="A53" s="50"/>
      <c r="B53" s="37" t="s">
        <v>154</v>
      </c>
      <c r="C53" s="51" t="s">
        <v>138</v>
      </c>
      <c r="D53" s="120"/>
      <c r="E53" s="95">
        <f>SUM(F53,H53)</f>
        <v>408.03</v>
      </c>
      <c r="F53" s="96">
        <f>SUM(F55:F58)</f>
        <v>405.13</v>
      </c>
      <c r="G53" s="97">
        <f>SUM(G55:G58)</f>
        <v>262.75</v>
      </c>
      <c r="H53" s="98">
        <f>SUM(H55:H58)</f>
        <v>2.9</v>
      </c>
      <c r="I53" s="95">
        <f>SUM(J53,L53)</f>
        <v>17.77</v>
      </c>
      <c r="J53" s="96">
        <f>SUM(J55:J57)</f>
        <v>17.77</v>
      </c>
      <c r="K53" s="97">
        <f>SUM(K55:K57)</f>
        <v>15.75</v>
      </c>
      <c r="L53" s="98">
        <f>SUM(L55:L57)</f>
        <v>0</v>
      </c>
    </row>
    <row r="54" spans="1:12" s="1" customFormat="1" ht="13.5" customHeight="1" x14ac:dyDescent="0.2">
      <c r="A54" s="54"/>
      <c r="B54" s="6" t="s">
        <v>2</v>
      </c>
      <c r="C54" s="55"/>
      <c r="D54" s="120"/>
      <c r="E54" s="81"/>
      <c r="F54" s="82"/>
      <c r="G54" s="83"/>
      <c r="H54" s="84"/>
      <c r="I54" s="81"/>
      <c r="J54" s="82"/>
      <c r="K54" s="83"/>
      <c r="L54" s="84"/>
    </row>
    <row r="55" spans="1:12" s="4" customFormat="1" ht="18.75" customHeight="1" x14ac:dyDescent="0.2">
      <c r="A55" s="420" t="s">
        <v>26</v>
      </c>
      <c r="B55" s="422" t="s">
        <v>42</v>
      </c>
      <c r="C55" s="52" t="s">
        <v>30</v>
      </c>
      <c r="D55" s="119" t="s">
        <v>37</v>
      </c>
      <c r="E55" s="81">
        <f>SUM(F55,H55)</f>
        <v>362.36399999999998</v>
      </c>
      <c r="F55" s="82">
        <f>J55+342.1+1.32</f>
        <v>359.464</v>
      </c>
      <c r="G55" s="83">
        <f>K55+247</f>
        <v>262.75</v>
      </c>
      <c r="H55" s="84">
        <v>2.9</v>
      </c>
      <c r="I55" s="81">
        <f>SUM(J55,L55)</f>
        <v>16.044</v>
      </c>
      <c r="J55" s="82">
        <f>0.064+15.98</f>
        <v>16.044</v>
      </c>
      <c r="K55" s="83">
        <v>15.75</v>
      </c>
      <c r="L55" s="84"/>
    </row>
    <row r="56" spans="1:12" s="4" customFormat="1" ht="21.6" customHeight="1" x14ac:dyDescent="0.2">
      <c r="A56" s="421"/>
      <c r="B56" s="423"/>
      <c r="C56" s="52" t="s">
        <v>54</v>
      </c>
      <c r="D56" s="131" t="s">
        <v>52</v>
      </c>
      <c r="E56" s="81">
        <f>SUM(F56,H56)</f>
        <v>44.275999999999996</v>
      </c>
      <c r="F56" s="82">
        <f>J56+42.55</f>
        <v>44.275999999999996</v>
      </c>
      <c r="G56" s="83"/>
      <c r="H56" s="84"/>
      <c r="I56" s="81">
        <f>SUM(J56,L56)</f>
        <v>1.726</v>
      </c>
      <c r="J56" s="82">
        <v>1.726</v>
      </c>
      <c r="K56" s="83"/>
      <c r="L56" s="84"/>
    </row>
    <row r="57" spans="1:12" s="4" customFormat="1" ht="21.6" customHeight="1" x14ac:dyDescent="0.2">
      <c r="A57" s="46" t="s">
        <v>33</v>
      </c>
      <c r="B57" s="134" t="s">
        <v>47</v>
      </c>
      <c r="C57" s="52" t="s">
        <v>55</v>
      </c>
      <c r="D57" s="131" t="s">
        <v>37</v>
      </c>
      <c r="E57" s="81">
        <f>SUM(F57,H57)</f>
        <v>1.39</v>
      </c>
      <c r="F57" s="82">
        <v>1.39</v>
      </c>
      <c r="G57" s="83"/>
      <c r="H57" s="84"/>
      <c r="I57" s="81">
        <f>SUM(J57,L57)</f>
        <v>0</v>
      </c>
      <c r="J57" s="82"/>
      <c r="K57" s="83"/>
      <c r="L57" s="84"/>
    </row>
    <row r="58" spans="1:12" s="4" customFormat="1" ht="21.6" hidden="1" customHeight="1" x14ac:dyDescent="0.2">
      <c r="A58" s="131" t="s">
        <v>7</v>
      </c>
      <c r="B58" s="28" t="s">
        <v>49</v>
      </c>
      <c r="C58" s="52" t="s">
        <v>141</v>
      </c>
      <c r="D58" s="131" t="s">
        <v>37</v>
      </c>
      <c r="E58" s="81"/>
      <c r="F58" s="82"/>
      <c r="G58" s="83"/>
      <c r="H58" s="84"/>
      <c r="I58" s="81"/>
      <c r="J58" s="82"/>
      <c r="K58" s="83"/>
      <c r="L58" s="84"/>
    </row>
    <row r="59" spans="1:12" s="1" customFormat="1" ht="23.45" customHeight="1" x14ac:dyDescent="0.2">
      <c r="A59" s="50"/>
      <c r="B59" s="37" t="s">
        <v>14</v>
      </c>
      <c r="C59" s="51" t="s">
        <v>137</v>
      </c>
      <c r="D59" s="119"/>
      <c r="E59" s="95">
        <f>SUM(F59,H59)</f>
        <v>447.45600000000002</v>
      </c>
      <c r="F59" s="96">
        <f>SUM(F61:F65)</f>
        <v>391.05600000000004</v>
      </c>
      <c r="G59" s="97">
        <f>SUM(G61:G64)</f>
        <v>256.07</v>
      </c>
      <c r="H59" s="98">
        <f>SUM(H61:H64)</f>
        <v>56.4</v>
      </c>
      <c r="I59" s="95">
        <f>SUM(J59,L59)</f>
        <v>100.876</v>
      </c>
      <c r="J59" s="96">
        <f>SUM(J61:J65)</f>
        <v>50.875999999999998</v>
      </c>
      <c r="K59" s="97">
        <f>SUM(K61:K64)</f>
        <v>35.270000000000003</v>
      </c>
      <c r="L59" s="98">
        <f>SUM(L61:L64)</f>
        <v>50</v>
      </c>
    </row>
    <row r="60" spans="1:12" s="1" customFormat="1" ht="17.45" customHeight="1" x14ac:dyDescent="0.2">
      <c r="A60" s="50"/>
      <c r="B60" s="6" t="s">
        <v>2</v>
      </c>
      <c r="C60" s="55"/>
      <c r="D60" s="120"/>
      <c r="E60" s="81"/>
      <c r="F60" s="82"/>
      <c r="G60" s="83"/>
      <c r="H60" s="84"/>
      <c r="I60" s="81"/>
      <c r="J60" s="82"/>
      <c r="K60" s="83"/>
      <c r="L60" s="84"/>
    </row>
    <row r="61" spans="1:12" s="1" customFormat="1" ht="22.5" customHeight="1" x14ac:dyDescent="0.2">
      <c r="A61" s="40" t="s">
        <v>23</v>
      </c>
      <c r="B61" s="41" t="s">
        <v>35</v>
      </c>
      <c r="C61" s="52" t="s">
        <v>56</v>
      </c>
      <c r="D61" s="131" t="s">
        <v>52</v>
      </c>
      <c r="E61" s="81">
        <f t="shared" ref="E61:E66" si="5">SUM(F61,H61)</f>
        <v>1.641</v>
      </c>
      <c r="F61" s="82">
        <f>J61+1</f>
        <v>1.641</v>
      </c>
      <c r="G61" s="83"/>
      <c r="H61" s="84"/>
      <c r="I61" s="81">
        <f t="shared" ref="I61:I66" si="6">SUM(J61,L61)</f>
        <v>0.64100000000000001</v>
      </c>
      <c r="J61" s="82">
        <v>0.64100000000000001</v>
      </c>
      <c r="K61" s="83"/>
      <c r="L61" s="84"/>
    </row>
    <row r="62" spans="1:12" s="4" customFormat="1" ht="21.6" customHeight="1" x14ac:dyDescent="0.2">
      <c r="A62" s="420" t="s">
        <v>26</v>
      </c>
      <c r="B62" s="422" t="s">
        <v>42</v>
      </c>
      <c r="C62" s="52" t="s">
        <v>57</v>
      </c>
      <c r="D62" s="119" t="s">
        <v>37</v>
      </c>
      <c r="E62" s="81">
        <f t="shared" si="5"/>
        <v>396.47500000000002</v>
      </c>
      <c r="F62" s="82">
        <f>J62+289.95+1.22</f>
        <v>340.07500000000005</v>
      </c>
      <c r="G62" s="83">
        <f>K62+220.8</f>
        <v>256.07</v>
      </c>
      <c r="H62" s="84">
        <f>L62+6.4</f>
        <v>56.4</v>
      </c>
      <c r="I62" s="81">
        <f t="shared" si="6"/>
        <v>98.905000000000001</v>
      </c>
      <c r="J62" s="82">
        <f>35.78+13.125</f>
        <v>48.905000000000001</v>
      </c>
      <c r="K62" s="83">
        <v>35.270000000000003</v>
      </c>
      <c r="L62" s="84">
        <v>50</v>
      </c>
    </row>
    <row r="63" spans="1:12" s="4" customFormat="1" ht="21.6" customHeight="1" x14ac:dyDescent="0.2">
      <c r="A63" s="421"/>
      <c r="B63" s="423"/>
      <c r="C63" s="52" t="s">
        <v>58</v>
      </c>
      <c r="D63" s="131" t="s">
        <v>52</v>
      </c>
      <c r="E63" s="81">
        <f t="shared" si="5"/>
        <v>48.379999999999995</v>
      </c>
      <c r="F63" s="82">
        <f>J63+47.05</f>
        <v>48.379999999999995</v>
      </c>
      <c r="G63" s="83"/>
      <c r="H63" s="84"/>
      <c r="I63" s="81">
        <f t="shared" si="6"/>
        <v>1.33</v>
      </c>
      <c r="J63" s="82">
        <v>1.33</v>
      </c>
      <c r="K63" s="83"/>
      <c r="L63" s="84"/>
    </row>
    <row r="64" spans="1:12" s="4" customFormat="1" ht="21.6" customHeight="1" x14ac:dyDescent="0.2">
      <c r="A64" s="46" t="s">
        <v>33</v>
      </c>
      <c r="B64" s="134" t="s">
        <v>47</v>
      </c>
      <c r="C64" s="52" t="s">
        <v>59</v>
      </c>
      <c r="D64" s="131" t="s">
        <v>37</v>
      </c>
      <c r="E64" s="81">
        <f t="shared" si="5"/>
        <v>0.96</v>
      </c>
      <c r="F64" s="82">
        <v>0.96</v>
      </c>
      <c r="G64" s="83"/>
      <c r="H64" s="84"/>
      <c r="I64" s="81">
        <f t="shared" si="6"/>
        <v>0</v>
      </c>
      <c r="J64" s="82"/>
      <c r="K64" s="83"/>
      <c r="L64" s="84"/>
    </row>
    <row r="65" spans="1:12" s="4" customFormat="1" ht="21.6" hidden="1" customHeight="1" x14ac:dyDescent="0.2">
      <c r="A65" s="131" t="s">
        <v>7</v>
      </c>
      <c r="B65" s="28" t="s">
        <v>49</v>
      </c>
      <c r="C65" s="52" t="s">
        <v>142</v>
      </c>
      <c r="D65" s="131" t="s">
        <v>37</v>
      </c>
      <c r="E65" s="81"/>
      <c r="F65" s="82"/>
      <c r="G65" s="83"/>
      <c r="H65" s="84"/>
      <c r="I65" s="81"/>
      <c r="J65" s="82"/>
      <c r="K65" s="83"/>
      <c r="L65" s="84"/>
    </row>
    <row r="66" spans="1:12" s="1" customFormat="1" ht="22.15" customHeight="1" x14ac:dyDescent="0.2">
      <c r="A66" s="50"/>
      <c r="B66" s="37" t="s">
        <v>15</v>
      </c>
      <c r="C66" s="51" t="s">
        <v>98</v>
      </c>
      <c r="D66" s="119"/>
      <c r="E66" s="95">
        <f t="shared" si="5"/>
        <v>235.46800000000002</v>
      </c>
      <c r="F66" s="96">
        <f>SUM(F68:F71)</f>
        <v>233.46800000000002</v>
      </c>
      <c r="G66" s="97">
        <f>SUM(G68:G71)</f>
        <v>163.91</v>
      </c>
      <c r="H66" s="98">
        <f>SUM(H68:H71)</f>
        <v>2</v>
      </c>
      <c r="I66" s="95">
        <f t="shared" si="6"/>
        <v>8.2880000000000003</v>
      </c>
      <c r="J66" s="96">
        <f>SUM(J68:J70)</f>
        <v>8.2880000000000003</v>
      </c>
      <c r="K66" s="97">
        <f>SUM(K68:K70)</f>
        <v>8.01</v>
      </c>
      <c r="L66" s="98">
        <f>SUM(L68:L70)</f>
        <v>0</v>
      </c>
    </row>
    <row r="67" spans="1:12" s="1" customFormat="1" ht="17.45" customHeight="1" x14ac:dyDescent="0.2">
      <c r="A67" s="54"/>
      <c r="B67" s="6" t="s">
        <v>2</v>
      </c>
      <c r="C67" s="55"/>
      <c r="D67" s="120"/>
      <c r="E67" s="81"/>
      <c r="F67" s="82"/>
      <c r="G67" s="83"/>
      <c r="H67" s="84"/>
      <c r="I67" s="81"/>
      <c r="J67" s="82"/>
      <c r="K67" s="83"/>
      <c r="L67" s="84"/>
    </row>
    <row r="68" spans="1:12" s="4" customFormat="1" ht="21.6" customHeight="1" x14ac:dyDescent="0.2">
      <c r="A68" s="420" t="s">
        <v>26</v>
      </c>
      <c r="B68" s="422" t="s">
        <v>42</v>
      </c>
      <c r="C68" s="52" t="s">
        <v>60</v>
      </c>
      <c r="D68" s="119" t="s">
        <v>37</v>
      </c>
      <c r="E68" s="81">
        <f>SUM(F68,H68)</f>
        <v>212</v>
      </c>
      <c r="F68" s="82">
        <f>J68+201.07+0.8</f>
        <v>210</v>
      </c>
      <c r="G68" s="83">
        <f>K68+155.9</f>
        <v>163.91</v>
      </c>
      <c r="H68" s="84">
        <v>2</v>
      </c>
      <c r="I68" s="81">
        <f>SUM(J68,L68)</f>
        <v>8.1300000000000008</v>
      </c>
      <c r="J68" s="82">
        <v>8.1300000000000008</v>
      </c>
      <c r="K68" s="83">
        <v>8.01</v>
      </c>
      <c r="L68" s="84"/>
    </row>
    <row r="69" spans="1:12" s="4" customFormat="1" ht="21.6" customHeight="1" x14ac:dyDescent="0.2">
      <c r="A69" s="421"/>
      <c r="B69" s="423"/>
      <c r="C69" s="52" t="s">
        <v>61</v>
      </c>
      <c r="D69" s="131" t="s">
        <v>52</v>
      </c>
      <c r="E69" s="81">
        <f>SUM(F69,H69)</f>
        <v>22.158000000000001</v>
      </c>
      <c r="F69" s="82">
        <f>J69+22</f>
        <v>22.158000000000001</v>
      </c>
      <c r="G69" s="83"/>
      <c r="H69" s="84"/>
      <c r="I69" s="81">
        <f>SUM(J69,L69)</f>
        <v>0.158</v>
      </c>
      <c r="J69" s="82">
        <v>0.158</v>
      </c>
      <c r="K69" s="83"/>
      <c r="L69" s="84"/>
    </row>
    <row r="70" spans="1:12" s="4" customFormat="1" ht="21.6" customHeight="1" x14ac:dyDescent="0.2">
      <c r="A70" s="46" t="s">
        <v>33</v>
      </c>
      <c r="B70" s="134" t="s">
        <v>47</v>
      </c>
      <c r="C70" s="52" t="s">
        <v>62</v>
      </c>
      <c r="D70" s="131" t="s">
        <v>37</v>
      </c>
      <c r="E70" s="81">
        <f>SUM(F70,H70)</f>
        <v>1.31</v>
      </c>
      <c r="F70" s="82">
        <v>1.31</v>
      </c>
      <c r="G70" s="83"/>
      <c r="H70" s="84"/>
      <c r="I70" s="81">
        <f>SUM(J70,L70)</f>
        <v>0</v>
      </c>
      <c r="J70" s="82"/>
      <c r="K70" s="83"/>
      <c r="L70" s="84"/>
    </row>
    <row r="71" spans="1:12" s="4" customFormat="1" ht="21.6" hidden="1" customHeight="1" x14ac:dyDescent="0.2">
      <c r="A71" s="131" t="s">
        <v>7</v>
      </c>
      <c r="B71" s="28" t="s">
        <v>49</v>
      </c>
      <c r="C71" s="52" t="s">
        <v>178</v>
      </c>
      <c r="D71" s="131" t="s">
        <v>37</v>
      </c>
      <c r="E71" s="81"/>
      <c r="F71" s="82"/>
      <c r="G71" s="83"/>
      <c r="H71" s="84"/>
      <c r="I71" s="81"/>
      <c r="J71" s="82"/>
      <c r="K71" s="83"/>
      <c r="L71" s="84"/>
    </row>
    <row r="72" spans="1:12" s="1" customFormat="1" ht="31.9" customHeight="1" x14ac:dyDescent="0.2">
      <c r="A72" s="50"/>
      <c r="B72" s="37" t="s">
        <v>9</v>
      </c>
      <c r="C72" s="51" t="s">
        <v>99</v>
      </c>
      <c r="D72" s="120"/>
      <c r="E72" s="95">
        <f>SUM(F72,H72)</f>
        <v>493.86900000000003</v>
      </c>
      <c r="F72" s="96">
        <f>SUM(F74:F78)</f>
        <v>479.68900000000002</v>
      </c>
      <c r="G72" s="97">
        <f>SUM(G74:G76)</f>
        <v>333.77</v>
      </c>
      <c r="H72" s="98">
        <f>SUM(H74:H78)</f>
        <v>14.18</v>
      </c>
      <c r="I72" s="95">
        <f>SUM(J72,L72)</f>
        <v>15.629</v>
      </c>
      <c r="J72" s="96">
        <f>SUM(J74:J78)</f>
        <v>11.629</v>
      </c>
      <c r="K72" s="97">
        <f>SUM(K74:K78)</f>
        <v>3.37</v>
      </c>
      <c r="L72" s="98">
        <f>SUM(L74:L78)</f>
        <v>4</v>
      </c>
    </row>
    <row r="73" spans="1:12" s="1" customFormat="1" ht="15" customHeight="1" x14ac:dyDescent="0.2">
      <c r="A73" s="54"/>
      <c r="B73" s="6" t="s">
        <v>2</v>
      </c>
      <c r="C73" s="55"/>
      <c r="D73" s="120"/>
      <c r="E73" s="81"/>
      <c r="F73" s="82"/>
      <c r="G73" s="83"/>
      <c r="H73" s="84"/>
      <c r="I73" s="81"/>
      <c r="J73" s="82"/>
      <c r="K73" s="83"/>
      <c r="L73" s="84"/>
    </row>
    <row r="74" spans="1:12" s="4" customFormat="1" ht="21.6" customHeight="1" x14ac:dyDescent="0.2">
      <c r="A74" s="420" t="s">
        <v>26</v>
      </c>
      <c r="B74" s="422" t="s">
        <v>42</v>
      </c>
      <c r="C74" s="52" t="s">
        <v>63</v>
      </c>
      <c r="D74" s="119" t="s">
        <v>37</v>
      </c>
      <c r="E74" s="81">
        <f>SUM(F74,H74)</f>
        <v>398.16</v>
      </c>
      <c r="F74" s="82">
        <f>J74+394.3</f>
        <v>398.16</v>
      </c>
      <c r="G74" s="83">
        <f>K74+330.4</f>
        <v>333.77</v>
      </c>
      <c r="H74" s="84"/>
      <c r="I74" s="81">
        <f>SUM(J74,L74)</f>
        <v>3.86</v>
      </c>
      <c r="J74" s="82">
        <v>3.86</v>
      </c>
      <c r="K74" s="83">
        <v>3.37</v>
      </c>
      <c r="L74" s="84"/>
    </row>
    <row r="75" spans="1:12" s="4" customFormat="1" ht="21.6" customHeight="1" x14ac:dyDescent="0.2">
      <c r="A75" s="421"/>
      <c r="B75" s="423"/>
      <c r="C75" s="52" t="s">
        <v>64</v>
      </c>
      <c r="D75" s="131" t="s">
        <v>52</v>
      </c>
      <c r="E75" s="81">
        <f>SUM(F75,H75)</f>
        <v>92.468999999999994</v>
      </c>
      <c r="F75" s="82">
        <f>J75+73.02</f>
        <v>80.789000000000001</v>
      </c>
      <c r="G75" s="83"/>
      <c r="H75" s="84">
        <f>L75+7.68</f>
        <v>11.68</v>
      </c>
      <c r="I75" s="81">
        <f>SUM(J75,L75)</f>
        <v>11.769</v>
      </c>
      <c r="J75" s="82">
        <v>7.7690000000000001</v>
      </c>
      <c r="K75" s="83"/>
      <c r="L75" s="84">
        <v>4</v>
      </c>
    </row>
    <row r="76" spans="1:12" s="4" customFormat="1" ht="21.6" customHeight="1" x14ac:dyDescent="0.2">
      <c r="A76" s="46" t="s">
        <v>33</v>
      </c>
      <c r="B76" s="134" t="s">
        <v>47</v>
      </c>
      <c r="C76" s="52" t="s">
        <v>143</v>
      </c>
      <c r="D76" s="131" t="s">
        <v>37</v>
      </c>
      <c r="E76" s="81">
        <f t="shared" ref="E76:E78" si="7">SUM(F76,H76)</f>
        <v>0.74</v>
      </c>
      <c r="F76" s="82">
        <v>0.74</v>
      </c>
      <c r="G76" s="83"/>
      <c r="H76" s="84"/>
      <c r="I76" s="81">
        <f t="shared" ref="I76:I78" si="8">SUM(J76,L76)</f>
        <v>0</v>
      </c>
      <c r="J76" s="82"/>
      <c r="K76" s="83"/>
      <c r="L76" s="84"/>
    </row>
    <row r="77" spans="1:12" s="4" customFormat="1" ht="21.6" customHeight="1" x14ac:dyDescent="0.2">
      <c r="A77" s="420" t="s">
        <v>7</v>
      </c>
      <c r="B77" s="422" t="s">
        <v>49</v>
      </c>
      <c r="C77" s="52" t="s">
        <v>187</v>
      </c>
      <c r="D77" s="131" t="s">
        <v>37</v>
      </c>
      <c r="E77" s="81">
        <f t="shared" si="7"/>
        <v>2.5</v>
      </c>
      <c r="F77" s="82"/>
      <c r="G77" s="83"/>
      <c r="H77" s="84">
        <v>2.5</v>
      </c>
      <c r="I77" s="81">
        <f t="shared" si="8"/>
        <v>0</v>
      </c>
      <c r="J77" s="82"/>
      <c r="K77" s="83"/>
      <c r="L77" s="84"/>
    </row>
    <row r="78" spans="1:12" s="4" customFormat="1" ht="21.6" hidden="1" customHeight="1" x14ac:dyDescent="0.2">
      <c r="A78" s="421"/>
      <c r="B78" s="423"/>
      <c r="C78" s="52" t="s">
        <v>190</v>
      </c>
      <c r="D78" s="131" t="s">
        <v>52</v>
      </c>
      <c r="E78" s="81">
        <f t="shared" si="7"/>
        <v>0</v>
      </c>
      <c r="F78" s="82">
        <f>J78</f>
        <v>0</v>
      </c>
      <c r="G78" s="83"/>
      <c r="H78" s="84">
        <f>L78</f>
        <v>0</v>
      </c>
      <c r="I78" s="81">
        <f t="shared" si="8"/>
        <v>0</v>
      </c>
      <c r="J78" s="82"/>
      <c r="K78" s="83"/>
      <c r="L78" s="84"/>
    </row>
    <row r="79" spans="1:12" s="1" customFormat="1" ht="28.15" customHeight="1" x14ac:dyDescent="0.2">
      <c r="A79" s="50"/>
      <c r="B79" s="37" t="s">
        <v>10</v>
      </c>
      <c r="C79" s="51" t="s">
        <v>159</v>
      </c>
      <c r="D79" s="120"/>
      <c r="E79" s="95">
        <f>SUM(F79,H79)</f>
        <v>323.98199999999997</v>
      </c>
      <c r="F79" s="96">
        <f>SUM(F81:F84)</f>
        <v>323.98199999999997</v>
      </c>
      <c r="G79" s="97">
        <f>SUM(G81:G84)</f>
        <v>228.04</v>
      </c>
      <c r="H79" s="98">
        <f>SUM(H81:H84)</f>
        <v>0</v>
      </c>
      <c r="I79" s="95">
        <f>SUM(J79,L79)</f>
        <v>11.222</v>
      </c>
      <c r="J79" s="96">
        <f>SUM(J81:J83)</f>
        <v>11.222</v>
      </c>
      <c r="K79" s="97">
        <f>SUM(K81:K83)</f>
        <v>10.79</v>
      </c>
      <c r="L79" s="98">
        <f>SUM(L81:L84)</f>
        <v>0</v>
      </c>
    </row>
    <row r="80" spans="1:12" s="1" customFormat="1" ht="15.75" customHeight="1" x14ac:dyDescent="0.2">
      <c r="A80" s="54"/>
      <c r="B80" s="6" t="s">
        <v>2</v>
      </c>
      <c r="C80" s="55"/>
      <c r="D80" s="120"/>
      <c r="E80" s="81"/>
      <c r="F80" s="82"/>
      <c r="G80" s="83"/>
      <c r="H80" s="84"/>
      <c r="I80" s="81"/>
      <c r="J80" s="82"/>
      <c r="K80" s="83"/>
      <c r="L80" s="84"/>
    </row>
    <row r="81" spans="1:12" s="4" customFormat="1" ht="21.6" customHeight="1" x14ac:dyDescent="0.2">
      <c r="A81" s="420" t="s">
        <v>26</v>
      </c>
      <c r="B81" s="422" t="s">
        <v>42</v>
      </c>
      <c r="C81" s="52" t="s">
        <v>65</v>
      </c>
      <c r="D81" s="119" t="s">
        <v>37</v>
      </c>
      <c r="E81" s="81">
        <f>SUM(F81,H81)</f>
        <v>284.02999999999997</v>
      </c>
      <c r="F81" s="82">
        <f>J81+273.08</f>
        <v>284.02999999999997</v>
      </c>
      <c r="G81" s="83">
        <f>K81+217.25</f>
        <v>228.04</v>
      </c>
      <c r="H81" s="84"/>
      <c r="I81" s="81">
        <f>SUM(J81,L81)</f>
        <v>10.95</v>
      </c>
      <c r="J81" s="82">
        <v>10.95</v>
      </c>
      <c r="K81" s="83">
        <v>10.79</v>
      </c>
      <c r="L81" s="84"/>
    </row>
    <row r="82" spans="1:12" s="4" customFormat="1" ht="21.6" customHeight="1" x14ac:dyDescent="0.2">
      <c r="A82" s="421"/>
      <c r="B82" s="423"/>
      <c r="C82" s="52" t="s">
        <v>66</v>
      </c>
      <c r="D82" s="131" t="s">
        <v>52</v>
      </c>
      <c r="E82" s="81">
        <f>SUM(F82,H82)</f>
        <v>39.472000000000001</v>
      </c>
      <c r="F82" s="82">
        <f>J82+39.2</f>
        <v>39.472000000000001</v>
      </c>
      <c r="G82" s="83"/>
      <c r="H82" s="84"/>
      <c r="I82" s="81">
        <f>SUM(J82,L82)</f>
        <v>0.27200000000000002</v>
      </c>
      <c r="J82" s="82">
        <v>0.27200000000000002</v>
      </c>
      <c r="K82" s="83"/>
      <c r="L82" s="84"/>
    </row>
    <row r="83" spans="1:12" s="4" customFormat="1" ht="21.6" customHeight="1" x14ac:dyDescent="0.2">
      <c r="A83" s="46" t="s">
        <v>33</v>
      </c>
      <c r="B83" s="134" t="s">
        <v>47</v>
      </c>
      <c r="C83" s="52" t="s">
        <v>144</v>
      </c>
      <c r="D83" s="131" t="s">
        <v>37</v>
      </c>
      <c r="E83" s="81">
        <f>SUM(F83,H83)</f>
        <v>0.48</v>
      </c>
      <c r="F83" s="82">
        <v>0.48</v>
      </c>
      <c r="G83" s="83"/>
      <c r="H83" s="84"/>
      <c r="I83" s="81">
        <f>SUM(J83,L83)</f>
        <v>0</v>
      </c>
      <c r="J83" s="82"/>
      <c r="K83" s="83"/>
      <c r="L83" s="84"/>
    </row>
    <row r="84" spans="1:12" s="4" customFormat="1" ht="21.6" hidden="1" customHeight="1" x14ac:dyDescent="0.2">
      <c r="A84" s="420" t="s">
        <v>7</v>
      </c>
      <c r="B84" s="422" t="s">
        <v>49</v>
      </c>
      <c r="C84" s="52" t="s">
        <v>179</v>
      </c>
      <c r="D84" s="131" t="s">
        <v>37</v>
      </c>
      <c r="E84" s="81">
        <f>SUM(F84,H84)</f>
        <v>0</v>
      </c>
      <c r="F84" s="82"/>
      <c r="G84" s="83"/>
      <c r="H84" s="84"/>
      <c r="I84" s="81">
        <f>SUM(J84,L84)</f>
        <v>0</v>
      </c>
      <c r="J84" s="82"/>
      <c r="K84" s="83"/>
      <c r="L84" s="84"/>
    </row>
    <row r="85" spans="1:12" s="4" customFormat="1" ht="21.6" hidden="1" customHeight="1" x14ac:dyDescent="0.2">
      <c r="A85" s="421"/>
      <c r="B85" s="423"/>
      <c r="C85" s="52" t="s">
        <v>194</v>
      </c>
      <c r="D85" s="131" t="s">
        <v>52</v>
      </c>
      <c r="E85" s="81"/>
      <c r="F85" s="82"/>
      <c r="G85" s="83"/>
      <c r="H85" s="84"/>
      <c r="I85" s="81"/>
      <c r="J85" s="82"/>
      <c r="K85" s="83"/>
      <c r="L85" s="84"/>
    </row>
    <row r="86" spans="1:12" s="1" customFormat="1" ht="31.15" customHeight="1" x14ac:dyDescent="0.2">
      <c r="A86" s="50"/>
      <c r="B86" s="37" t="s">
        <v>11</v>
      </c>
      <c r="C86" s="51" t="s">
        <v>100</v>
      </c>
      <c r="D86" s="120"/>
      <c r="E86" s="95">
        <f>SUM(F86,H86)</f>
        <v>439.31899999999996</v>
      </c>
      <c r="F86" s="96">
        <f>SUM(F88:F91)</f>
        <v>432.81899999999996</v>
      </c>
      <c r="G86" s="97">
        <f>SUM(G88:G91)</f>
        <v>304.70999999999998</v>
      </c>
      <c r="H86" s="98">
        <f>SUM(H88:H91)</f>
        <v>6.5</v>
      </c>
      <c r="I86" s="95">
        <f>SUM(J86,L86)</f>
        <v>8.2089999999999996</v>
      </c>
      <c r="J86" s="96">
        <f>SUM(J88:J90)</f>
        <v>6.7089999999999996</v>
      </c>
      <c r="K86" s="97">
        <f>SUM(K88:K90)</f>
        <v>0.51</v>
      </c>
      <c r="L86" s="98">
        <f>SUM(L88:L91)</f>
        <v>1.5</v>
      </c>
    </row>
    <row r="87" spans="1:12" s="1" customFormat="1" ht="16.5" customHeight="1" x14ac:dyDescent="0.2">
      <c r="A87" s="54"/>
      <c r="B87" s="6" t="s">
        <v>2</v>
      </c>
      <c r="C87" s="55"/>
      <c r="D87" s="120"/>
      <c r="E87" s="81"/>
      <c r="F87" s="82"/>
      <c r="G87" s="83"/>
      <c r="H87" s="84"/>
      <c r="I87" s="81"/>
      <c r="J87" s="82"/>
      <c r="K87" s="83"/>
      <c r="L87" s="84"/>
    </row>
    <row r="88" spans="1:12" s="4" customFormat="1" ht="21.6" customHeight="1" x14ac:dyDescent="0.2">
      <c r="A88" s="420" t="s">
        <v>26</v>
      </c>
      <c r="B88" s="422" t="s">
        <v>42</v>
      </c>
      <c r="C88" s="52" t="s">
        <v>67</v>
      </c>
      <c r="D88" s="119" t="s">
        <v>37</v>
      </c>
      <c r="E88" s="81">
        <f>SUM(F88,H88)</f>
        <v>366.09999999999997</v>
      </c>
      <c r="F88" s="82">
        <f>J88+365.58</f>
        <v>366.09999999999997</v>
      </c>
      <c r="G88" s="83">
        <f>K88+304.2</f>
        <v>304.70999999999998</v>
      </c>
      <c r="H88" s="84"/>
      <c r="I88" s="81">
        <f>SUM(J88,L88)</f>
        <v>0.52</v>
      </c>
      <c r="J88" s="82">
        <v>0.52</v>
      </c>
      <c r="K88" s="83">
        <v>0.51</v>
      </c>
      <c r="L88" s="84"/>
    </row>
    <row r="89" spans="1:12" s="4" customFormat="1" ht="21.6" customHeight="1" x14ac:dyDescent="0.2">
      <c r="A89" s="421"/>
      <c r="B89" s="423"/>
      <c r="C89" s="52" t="s">
        <v>68</v>
      </c>
      <c r="D89" s="131" t="s">
        <v>52</v>
      </c>
      <c r="E89" s="81">
        <f>SUM(F89,H89)</f>
        <v>70.289000000000001</v>
      </c>
      <c r="F89" s="82">
        <f>J89+60.1</f>
        <v>66.289000000000001</v>
      </c>
      <c r="G89" s="83"/>
      <c r="H89" s="84">
        <f>L89+2.5</f>
        <v>4</v>
      </c>
      <c r="I89" s="81">
        <f>SUM(J89,L89)</f>
        <v>7.6890000000000001</v>
      </c>
      <c r="J89" s="82">
        <v>6.1890000000000001</v>
      </c>
      <c r="K89" s="83"/>
      <c r="L89" s="84">
        <v>1.5</v>
      </c>
    </row>
    <row r="90" spans="1:12" s="4" customFormat="1" ht="21.6" customHeight="1" x14ac:dyDescent="0.2">
      <c r="A90" s="46" t="s">
        <v>33</v>
      </c>
      <c r="B90" s="134" t="s">
        <v>47</v>
      </c>
      <c r="C90" s="52" t="s">
        <v>160</v>
      </c>
      <c r="D90" s="131" t="s">
        <v>37</v>
      </c>
      <c r="E90" s="81">
        <f>SUM(F90,H90)</f>
        <v>0.43</v>
      </c>
      <c r="F90" s="82">
        <v>0.43</v>
      </c>
      <c r="G90" s="83"/>
      <c r="H90" s="84"/>
      <c r="I90" s="81">
        <f t="shared" ref="I90:I91" si="9">SUM(J90,L90)</f>
        <v>0</v>
      </c>
      <c r="J90" s="82"/>
      <c r="K90" s="83"/>
      <c r="L90" s="84"/>
    </row>
    <row r="91" spans="1:12" s="4" customFormat="1" ht="21.6" customHeight="1" x14ac:dyDescent="0.2">
      <c r="A91" s="46" t="s">
        <v>7</v>
      </c>
      <c r="B91" s="56" t="s">
        <v>49</v>
      </c>
      <c r="C91" s="52" t="s">
        <v>180</v>
      </c>
      <c r="D91" s="131" t="s">
        <v>37</v>
      </c>
      <c r="E91" s="81">
        <f>SUM(F91,H91)</f>
        <v>2.5</v>
      </c>
      <c r="F91" s="82"/>
      <c r="G91" s="83"/>
      <c r="H91" s="84">
        <v>2.5</v>
      </c>
      <c r="I91" s="81">
        <f t="shared" si="9"/>
        <v>0</v>
      </c>
      <c r="J91" s="82"/>
      <c r="K91" s="83"/>
      <c r="L91" s="84"/>
    </row>
    <row r="92" spans="1:12" s="1" customFormat="1" ht="24" customHeight="1" x14ac:dyDescent="0.2">
      <c r="A92" s="50"/>
      <c r="B92" s="37" t="s">
        <v>12</v>
      </c>
      <c r="C92" s="51" t="s">
        <v>101</v>
      </c>
      <c r="D92" s="120"/>
      <c r="E92" s="95">
        <f>SUM(F92,H92)</f>
        <v>433.00299999999993</v>
      </c>
      <c r="F92" s="96">
        <f>SUM(F94:F98)</f>
        <v>422.97799999999995</v>
      </c>
      <c r="G92" s="97">
        <f>SUM(G94:G96)</f>
        <v>297.60000000000002</v>
      </c>
      <c r="H92" s="98">
        <f>SUM(H94:H98)</f>
        <v>10.025</v>
      </c>
      <c r="I92" s="95">
        <f>SUM(J92,L92)</f>
        <v>1.923</v>
      </c>
      <c r="J92" s="96">
        <f>SUM(J94:J98)</f>
        <v>1.448</v>
      </c>
      <c r="K92" s="97">
        <f>SUM(K94:K96)</f>
        <v>0</v>
      </c>
      <c r="L92" s="98">
        <f>SUM(L94:L98)</f>
        <v>0.47499999999999998</v>
      </c>
    </row>
    <row r="93" spans="1:12" s="1" customFormat="1" ht="15" customHeight="1" x14ac:dyDescent="0.2">
      <c r="A93" s="54"/>
      <c r="B93" s="6" t="s">
        <v>2</v>
      </c>
      <c r="C93" s="55"/>
      <c r="D93" s="120"/>
      <c r="E93" s="81"/>
      <c r="F93" s="82"/>
      <c r="G93" s="83"/>
      <c r="H93" s="84"/>
      <c r="I93" s="81"/>
      <c r="J93" s="82"/>
      <c r="K93" s="83"/>
      <c r="L93" s="84"/>
    </row>
    <row r="94" spans="1:12" s="4" customFormat="1" ht="21.6" customHeight="1" x14ac:dyDescent="0.2">
      <c r="A94" s="420" t="s">
        <v>26</v>
      </c>
      <c r="B94" s="422" t="s">
        <v>42</v>
      </c>
      <c r="C94" s="52" t="s">
        <v>69</v>
      </c>
      <c r="D94" s="119" t="s">
        <v>37</v>
      </c>
      <c r="E94" s="81">
        <f>SUM(F94,H94)</f>
        <v>358.45</v>
      </c>
      <c r="F94" s="82">
        <f>357.95+0.5</f>
        <v>358.45</v>
      </c>
      <c r="G94" s="83">
        <v>297.60000000000002</v>
      </c>
      <c r="H94" s="84"/>
      <c r="I94" s="81">
        <f>SUM(J94,L94)</f>
        <v>0</v>
      </c>
      <c r="J94" s="82"/>
      <c r="K94" s="83"/>
      <c r="L94" s="84"/>
    </row>
    <row r="95" spans="1:12" s="4" customFormat="1" ht="21.6" customHeight="1" x14ac:dyDescent="0.2">
      <c r="A95" s="421"/>
      <c r="B95" s="423"/>
      <c r="C95" s="52" t="s">
        <v>70</v>
      </c>
      <c r="D95" s="131" t="s">
        <v>52</v>
      </c>
      <c r="E95" s="81">
        <f>SUM(F95,H95)</f>
        <v>64.647999999999996</v>
      </c>
      <c r="F95" s="82">
        <f>J95+61.3+0.5</f>
        <v>63.247999999999998</v>
      </c>
      <c r="G95" s="83"/>
      <c r="H95" s="84">
        <v>1.4</v>
      </c>
      <c r="I95" s="81">
        <f>SUM(J95,L95)</f>
        <v>1.448</v>
      </c>
      <c r="J95" s="82">
        <v>1.448</v>
      </c>
      <c r="K95" s="83"/>
      <c r="L95" s="84"/>
    </row>
    <row r="96" spans="1:12" s="4" customFormat="1" ht="21.6" customHeight="1" x14ac:dyDescent="0.2">
      <c r="A96" s="46" t="s">
        <v>33</v>
      </c>
      <c r="B96" s="134" t="s">
        <v>47</v>
      </c>
      <c r="C96" s="52" t="s">
        <v>145</v>
      </c>
      <c r="D96" s="131" t="s">
        <v>37</v>
      </c>
      <c r="E96" s="81">
        <f t="shared" ref="E96:E98" si="10">SUM(F96,H96)</f>
        <v>0.83</v>
      </c>
      <c r="F96" s="82">
        <v>0.83</v>
      </c>
      <c r="G96" s="83"/>
      <c r="H96" s="84"/>
      <c r="I96" s="81">
        <f t="shared" ref="I96:I98" si="11">SUM(J96,L96)</f>
        <v>0</v>
      </c>
      <c r="J96" s="82"/>
      <c r="K96" s="83"/>
      <c r="L96" s="84"/>
    </row>
    <row r="97" spans="1:12" s="4" customFormat="1" ht="21.6" customHeight="1" x14ac:dyDescent="0.2">
      <c r="A97" s="420" t="s">
        <v>7</v>
      </c>
      <c r="B97" s="422" t="s">
        <v>49</v>
      </c>
      <c r="C97" s="52" t="s">
        <v>181</v>
      </c>
      <c r="D97" s="131" t="s">
        <v>37</v>
      </c>
      <c r="E97" s="81">
        <f t="shared" si="10"/>
        <v>7.9749999999999996</v>
      </c>
      <c r="F97" s="82"/>
      <c r="G97" s="83"/>
      <c r="H97" s="84">
        <f>L97+7.5</f>
        <v>7.9749999999999996</v>
      </c>
      <c r="I97" s="81">
        <f t="shared" si="11"/>
        <v>0.47499999999999998</v>
      </c>
      <c r="J97" s="82"/>
      <c r="K97" s="83"/>
      <c r="L97" s="84">
        <v>0.47499999999999998</v>
      </c>
    </row>
    <row r="98" spans="1:12" s="4" customFormat="1" ht="21.6" customHeight="1" x14ac:dyDescent="0.2">
      <c r="A98" s="421"/>
      <c r="B98" s="423"/>
      <c r="C98" s="52" t="s">
        <v>191</v>
      </c>
      <c r="D98" s="131" t="s">
        <v>52</v>
      </c>
      <c r="E98" s="81">
        <f t="shared" si="10"/>
        <v>1.1000000000000001</v>
      </c>
      <c r="F98" s="82">
        <v>0.45</v>
      </c>
      <c r="G98" s="83"/>
      <c r="H98" s="84">
        <v>0.65</v>
      </c>
      <c r="I98" s="81">
        <f t="shared" si="11"/>
        <v>0</v>
      </c>
      <c r="J98" s="82"/>
      <c r="K98" s="83"/>
      <c r="L98" s="84"/>
    </row>
    <row r="99" spans="1:12" s="1" customFormat="1" ht="27" customHeight="1" x14ac:dyDescent="0.2">
      <c r="A99" s="50"/>
      <c r="B99" s="37" t="s">
        <v>13</v>
      </c>
      <c r="C99" s="51" t="s">
        <v>102</v>
      </c>
      <c r="D99" s="119"/>
      <c r="E99" s="95">
        <f>SUM(F99,H99)</f>
        <v>433.89499999999998</v>
      </c>
      <c r="F99" s="96">
        <f>SUM(F101:F104)</f>
        <v>430.89499999999998</v>
      </c>
      <c r="G99" s="97">
        <f>SUM(G101:G104)</f>
        <v>301.48</v>
      </c>
      <c r="H99" s="98">
        <f>SUM(H101:H104)</f>
        <v>3</v>
      </c>
      <c r="I99" s="95">
        <f>SUM(J99,L99)</f>
        <v>9.504999999999999</v>
      </c>
      <c r="J99" s="96">
        <f>SUM(J101:J103)</f>
        <v>9.504999999999999</v>
      </c>
      <c r="K99" s="97">
        <f>SUM(K101:K103)</f>
        <v>8.3800000000000008</v>
      </c>
      <c r="L99" s="98">
        <f>SUM(L101:L103)</f>
        <v>0</v>
      </c>
    </row>
    <row r="100" spans="1:12" s="1" customFormat="1" ht="17.45" customHeight="1" x14ac:dyDescent="0.2">
      <c r="A100" s="54"/>
      <c r="B100" s="6" t="s">
        <v>2</v>
      </c>
      <c r="C100" s="55"/>
      <c r="D100" s="120"/>
      <c r="E100" s="81"/>
      <c r="F100" s="82"/>
      <c r="G100" s="83"/>
      <c r="H100" s="84"/>
      <c r="I100" s="81"/>
      <c r="J100" s="82"/>
      <c r="K100" s="83"/>
      <c r="L100" s="84"/>
    </row>
    <row r="101" spans="1:12" s="4" customFormat="1" ht="21.6" customHeight="1" x14ac:dyDescent="0.2">
      <c r="A101" s="420" t="s">
        <v>26</v>
      </c>
      <c r="B101" s="422" t="s">
        <v>42</v>
      </c>
      <c r="C101" s="52" t="s">
        <v>71</v>
      </c>
      <c r="D101" s="119" t="s">
        <v>37</v>
      </c>
      <c r="E101" s="81">
        <f>SUM(F101,H101)</f>
        <v>367.51</v>
      </c>
      <c r="F101" s="82">
        <f>J101+359.01</f>
        <v>367.51</v>
      </c>
      <c r="G101" s="83">
        <f>K101+293.1</f>
        <v>301.48</v>
      </c>
      <c r="H101" s="84"/>
      <c r="I101" s="81">
        <f>SUM(J101,L101)</f>
        <v>8.5</v>
      </c>
      <c r="J101" s="82">
        <v>8.5</v>
      </c>
      <c r="K101" s="83">
        <v>8.3800000000000008</v>
      </c>
      <c r="L101" s="84"/>
    </row>
    <row r="102" spans="1:12" s="4" customFormat="1" ht="21.6" customHeight="1" x14ac:dyDescent="0.2">
      <c r="A102" s="421"/>
      <c r="B102" s="423"/>
      <c r="C102" s="52" t="s">
        <v>72</v>
      </c>
      <c r="D102" s="131" t="s">
        <v>52</v>
      </c>
      <c r="E102" s="81">
        <f>SUM(F102,H102)</f>
        <v>65.155000000000001</v>
      </c>
      <c r="F102" s="82">
        <f>J102+61.15</f>
        <v>62.155000000000001</v>
      </c>
      <c r="G102" s="83"/>
      <c r="H102" s="84">
        <v>3</v>
      </c>
      <c r="I102" s="81">
        <f>SUM(J102,L102)</f>
        <v>1.0049999999999999</v>
      </c>
      <c r="J102" s="82">
        <v>1.0049999999999999</v>
      </c>
      <c r="K102" s="83"/>
      <c r="L102" s="84"/>
    </row>
    <row r="103" spans="1:12" s="4" customFormat="1" ht="21.6" customHeight="1" x14ac:dyDescent="0.2">
      <c r="A103" s="46" t="s">
        <v>33</v>
      </c>
      <c r="B103" s="134" t="s">
        <v>47</v>
      </c>
      <c r="C103" s="52" t="s">
        <v>147</v>
      </c>
      <c r="D103" s="131" t="s">
        <v>37</v>
      </c>
      <c r="E103" s="81">
        <f>SUM(F103,H103)</f>
        <v>1.23</v>
      </c>
      <c r="F103" s="82">
        <v>1.23</v>
      </c>
      <c r="G103" s="83"/>
      <c r="H103" s="84"/>
      <c r="I103" s="81">
        <f>SUM(J103,L103)</f>
        <v>0</v>
      </c>
      <c r="J103" s="82"/>
      <c r="K103" s="83"/>
      <c r="L103" s="84"/>
    </row>
    <row r="104" spans="1:12" s="4" customFormat="1" ht="21.6" hidden="1" customHeight="1" x14ac:dyDescent="0.2">
      <c r="A104" s="420" t="s">
        <v>7</v>
      </c>
      <c r="B104" s="422" t="s">
        <v>49</v>
      </c>
      <c r="C104" s="52" t="s">
        <v>176</v>
      </c>
      <c r="D104" s="131" t="s">
        <v>37</v>
      </c>
      <c r="E104" s="81">
        <f>SUM(F104,H104)</f>
        <v>0</v>
      </c>
      <c r="F104" s="82"/>
      <c r="G104" s="83"/>
      <c r="H104" s="84"/>
      <c r="I104" s="81">
        <f>SUM(J104,L104)</f>
        <v>0</v>
      </c>
      <c r="J104" s="82"/>
      <c r="K104" s="83"/>
      <c r="L104" s="84"/>
    </row>
    <row r="105" spans="1:12" s="4" customFormat="1" ht="21.6" hidden="1" customHeight="1" x14ac:dyDescent="0.2">
      <c r="A105" s="421"/>
      <c r="B105" s="423"/>
      <c r="C105" s="52" t="s">
        <v>197</v>
      </c>
      <c r="D105" s="131" t="s">
        <v>52</v>
      </c>
      <c r="E105" s="81"/>
      <c r="F105" s="82"/>
      <c r="G105" s="83"/>
      <c r="H105" s="84"/>
      <c r="I105" s="81"/>
      <c r="J105" s="82"/>
      <c r="K105" s="83"/>
      <c r="L105" s="84"/>
    </row>
    <row r="106" spans="1:12" s="1" customFormat="1" ht="22.15" customHeight="1" x14ac:dyDescent="0.2">
      <c r="A106" s="50"/>
      <c r="B106" s="37" t="s">
        <v>150</v>
      </c>
      <c r="C106" s="51" t="s">
        <v>103</v>
      </c>
      <c r="D106" s="119"/>
      <c r="E106" s="95">
        <f>SUM(F106,H106)</f>
        <v>885.67499999999995</v>
      </c>
      <c r="F106" s="96">
        <f>SUM(F108:F111)</f>
        <v>876.02499999999998</v>
      </c>
      <c r="G106" s="97">
        <f>SUM(G108:G111)</f>
        <v>815.39400000000001</v>
      </c>
      <c r="H106" s="98">
        <f>SUM(H108:H111)</f>
        <v>9.65</v>
      </c>
      <c r="I106" s="95">
        <f>SUM(J106,L106)</f>
        <v>0.44799999999999995</v>
      </c>
      <c r="J106" s="96">
        <f>SUM(J108:J110)</f>
        <v>0.44799999999999995</v>
      </c>
      <c r="K106" s="97">
        <f>SUM(K108:K110)</f>
        <v>0</v>
      </c>
      <c r="L106" s="98">
        <f>SUM(L108:L110)</f>
        <v>0</v>
      </c>
    </row>
    <row r="107" spans="1:12" s="1" customFormat="1" ht="17.45" customHeight="1" x14ac:dyDescent="0.2">
      <c r="A107" s="54"/>
      <c r="B107" s="6" t="s">
        <v>2</v>
      </c>
      <c r="C107" s="55"/>
      <c r="D107" s="120"/>
      <c r="E107" s="81"/>
      <c r="F107" s="82"/>
      <c r="G107" s="83"/>
      <c r="H107" s="84"/>
      <c r="I107" s="81"/>
      <c r="J107" s="82"/>
      <c r="K107" s="83"/>
      <c r="L107" s="84"/>
    </row>
    <row r="108" spans="1:12" s="4" customFormat="1" ht="21.6" customHeight="1" x14ac:dyDescent="0.2">
      <c r="A108" s="420" t="s">
        <v>26</v>
      </c>
      <c r="B108" s="422" t="s">
        <v>42</v>
      </c>
      <c r="C108" s="52" t="s">
        <v>73</v>
      </c>
      <c r="D108" s="119" t="s">
        <v>37</v>
      </c>
      <c r="E108" s="81">
        <f>SUM(F108,H108)</f>
        <v>839.81699999999989</v>
      </c>
      <c r="F108" s="82">
        <f>J108+831.77+1.007</f>
        <v>832.81699999999989</v>
      </c>
      <c r="G108" s="83">
        <f>787.5+0.894</f>
        <v>788.39400000000001</v>
      </c>
      <c r="H108" s="84">
        <v>7</v>
      </c>
      <c r="I108" s="81">
        <f>SUM(J108,L108)</f>
        <v>0.04</v>
      </c>
      <c r="J108" s="82">
        <v>0.04</v>
      </c>
      <c r="K108" s="83"/>
      <c r="L108" s="84"/>
    </row>
    <row r="109" spans="1:12" s="4" customFormat="1" ht="21.6" customHeight="1" x14ac:dyDescent="0.2">
      <c r="A109" s="421"/>
      <c r="B109" s="423"/>
      <c r="C109" s="52" t="s">
        <v>74</v>
      </c>
      <c r="D109" s="131" t="s">
        <v>52</v>
      </c>
      <c r="E109" s="81">
        <f>SUM(F109,H109)</f>
        <v>45.61</v>
      </c>
      <c r="F109" s="82">
        <f>J109+42.6</f>
        <v>42.96</v>
      </c>
      <c r="G109" s="83">
        <v>27</v>
      </c>
      <c r="H109" s="84">
        <v>2.65</v>
      </c>
      <c r="I109" s="81">
        <f>SUM(J109,L109)</f>
        <v>0.36</v>
      </c>
      <c r="J109" s="82">
        <v>0.36</v>
      </c>
      <c r="K109" s="83"/>
      <c r="L109" s="84"/>
    </row>
    <row r="110" spans="1:12" s="4" customFormat="1" ht="21.6" customHeight="1" x14ac:dyDescent="0.2">
      <c r="A110" s="46" t="s">
        <v>33</v>
      </c>
      <c r="B110" s="134" t="s">
        <v>47</v>
      </c>
      <c r="C110" s="52" t="s">
        <v>161</v>
      </c>
      <c r="D110" s="131" t="s">
        <v>37</v>
      </c>
      <c r="E110" s="81">
        <f>SUM(F110,H110)</f>
        <v>0.248</v>
      </c>
      <c r="F110" s="82">
        <f>J110+0.2</f>
        <v>0.248</v>
      </c>
      <c r="G110" s="83"/>
      <c r="H110" s="84"/>
      <c r="I110" s="81">
        <f>SUM(J110,L110)</f>
        <v>4.8000000000000001E-2</v>
      </c>
      <c r="J110" s="82">
        <v>4.8000000000000001E-2</v>
      </c>
      <c r="K110" s="83"/>
      <c r="L110" s="84"/>
    </row>
    <row r="111" spans="1:12" s="4" customFormat="1" ht="21.6" hidden="1" customHeight="1" x14ac:dyDescent="0.2">
      <c r="A111" s="46" t="s">
        <v>7</v>
      </c>
      <c r="B111" s="56" t="s">
        <v>49</v>
      </c>
      <c r="C111" s="52" t="s">
        <v>182</v>
      </c>
      <c r="D111" s="131" t="s">
        <v>37</v>
      </c>
      <c r="E111" s="81">
        <f>SUM(F111,H111)</f>
        <v>0</v>
      </c>
      <c r="F111" s="82"/>
      <c r="G111" s="83"/>
      <c r="H111" s="84"/>
      <c r="I111" s="81">
        <f>SUM(J111,L111)</f>
        <v>0</v>
      </c>
      <c r="J111" s="82"/>
      <c r="K111" s="83"/>
      <c r="L111" s="84"/>
    </row>
    <row r="112" spans="1:12" s="1" customFormat="1" ht="25.15" customHeight="1" x14ac:dyDescent="0.2">
      <c r="A112" s="50"/>
      <c r="B112" s="37" t="s">
        <v>97</v>
      </c>
      <c r="C112" s="51" t="s">
        <v>104</v>
      </c>
      <c r="D112" s="120"/>
      <c r="E112" s="95">
        <f>SUM(F112,H112)</f>
        <v>686.87900000000013</v>
      </c>
      <c r="F112" s="96">
        <f>SUM(F114:F121)</f>
        <v>683.55900000000008</v>
      </c>
      <c r="G112" s="97">
        <f>SUM(G114:G120)</f>
        <v>567.88300000000004</v>
      </c>
      <c r="H112" s="98">
        <f>SUM(H114:H121)</f>
        <v>3.32</v>
      </c>
      <c r="I112" s="95">
        <f>SUM(J112,L112)</f>
        <v>54.036999999999999</v>
      </c>
      <c r="J112" s="96">
        <f>SUM(J114:J120)</f>
        <v>54.036999999999999</v>
      </c>
      <c r="K112" s="97">
        <f>SUM(K114:K120)</f>
        <v>31.39</v>
      </c>
      <c r="L112" s="98">
        <f>SUM(L114:L120)</f>
        <v>0</v>
      </c>
    </row>
    <row r="113" spans="1:12" s="1" customFormat="1" ht="17.45" customHeight="1" x14ac:dyDescent="0.2">
      <c r="A113" s="54"/>
      <c r="B113" s="6" t="s">
        <v>2</v>
      </c>
      <c r="C113" s="55"/>
      <c r="D113" s="120"/>
      <c r="E113" s="81"/>
      <c r="F113" s="82"/>
      <c r="G113" s="83"/>
      <c r="H113" s="84"/>
      <c r="I113" s="81"/>
      <c r="J113" s="82"/>
      <c r="K113" s="83"/>
      <c r="L113" s="84"/>
    </row>
    <row r="114" spans="1:12" s="4" customFormat="1" ht="18.75" customHeight="1" x14ac:dyDescent="0.2">
      <c r="A114" s="420" t="s">
        <v>26</v>
      </c>
      <c r="B114" s="422" t="s">
        <v>42</v>
      </c>
      <c r="C114" s="52" t="s">
        <v>75</v>
      </c>
      <c r="D114" s="119" t="s">
        <v>37</v>
      </c>
      <c r="E114" s="81">
        <f t="shared" ref="E114:E122" si="12">SUM(F114,H114)</f>
        <v>555.02200000000005</v>
      </c>
      <c r="F114" s="82">
        <f>J114+529.03+4.152</f>
        <v>555.02200000000005</v>
      </c>
      <c r="G114" s="83">
        <f>K114+470.4+4.093</f>
        <v>495.59300000000002</v>
      </c>
      <c r="H114" s="84"/>
      <c r="I114" s="81">
        <f t="shared" ref="I114:I122" si="13">SUM(J114,L114)</f>
        <v>21.84</v>
      </c>
      <c r="J114" s="82">
        <f>21.1+0.74</f>
        <v>21.84</v>
      </c>
      <c r="K114" s="83">
        <v>21.1</v>
      </c>
      <c r="L114" s="84"/>
    </row>
    <row r="115" spans="1:12" s="4" customFormat="1" ht="20.25" customHeight="1" x14ac:dyDescent="0.2">
      <c r="A115" s="421"/>
      <c r="B115" s="423"/>
      <c r="C115" s="52" t="s">
        <v>76</v>
      </c>
      <c r="D115" s="131" t="s">
        <v>52</v>
      </c>
      <c r="E115" s="81">
        <f t="shared" si="12"/>
        <v>98.165999999999997</v>
      </c>
      <c r="F115" s="82">
        <f>J115+91.98</f>
        <v>94.846000000000004</v>
      </c>
      <c r="G115" s="83">
        <f>K115+62</f>
        <v>63.79</v>
      </c>
      <c r="H115" s="84">
        <v>3.32</v>
      </c>
      <c r="I115" s="81">
        <f t="shared" si="13"/>
        <v>2.8660000000000001</v>
      </c>
      <c r="J115" s="82">
        <v>2.8660000000000001</v>
      </c>
      <c r="K115" s="83">
        <v>1.79</v>
      </c>
      <c r="L115" s="84"/>
    </row>
    <row r="116" spans="1:12" s="4" customFormat="1" ht="20.25" hidden="1" customHeight="1" x14ac:dyDescent="0.2">
      <c r="A116" s="137" t="s">
        <v>40</v>
      </c>
      <c r="B116" s="47" t="s">
        <v>115</v>
      </c>
      <c r="C116" s="52"/>
      <c r="D116" s="131" t="s">
        <v>37</v>
      </c>
      <c r="E116" s="81"/>
      <c r="F116" s="82"/>
      <c r="G116" s="83"/>
      <c r="H116" s="84"/>
      <c r="I116" s="81"/>
      <c r="J116" s="82"/>
      <c r="K116" s="83"/>
      <c r="L116" s="84"/>
    </row>
    <row r="117" spans="1:12" s="4" customFormat="1" ht="21" hidden="1" customHeight="1" x14ac:dyDescent="0.2">
      <c r="A117" s="133" t="s">
        <v>24</v>
      </c>
      <c r="B117" s="135" t="s">
        <v>45</v>
      </c>
      <c r="C117" s="52"/>
      <c r="D117" s="131" t="s">
        <v>37</v>
      </c>
      <c r="E117" s="81"/>
      <c r="F117" s="82"/>
      <c r="G117" s="83"/>
      <c r="H117" s="84"/>
      <c r="I117" s="81"/>
      <c r="J117" s="82"/>
      <c r="K117" s="83"/>
      <c r="L117" s="84"/>
    </row>
    <row r="118" spans="1:12" s="1" customFormat="1" ht="22.15" customHeight="1" x14ac:dyDescent="0.2">
      <c r="A118" s="131" t="s">
        <v>33</v>
      </c>
      <c r="B118" s="41" t="s">
        <v>47</v>
      </c>
      <c r="C118" s="52" t="s">
        <v>162</v>
      </c>
      <c r="D118" s="131" t="s">
        <v>37</v>
      </c>
      <c r="E118" s="81">
        <f t="shared" si="12"/>
        <v>1.6910000000000001</v>
      </c>
      <c r="F118" s="82">
        <f>J118+1.36</f>
        <v>1.6910000000000001</v>
      </c>
      <c r="G118" s="83"/>
      <c r="H118" s="84"/>
      <c r="I118" s="81">
        <f t="shared" si="13"/>
        <v>0.33100000000000002</v>
      </c>
      <c r="J118" s="82">
        <v>0.33100000000000002</v>
      </c>
      <c r="K118" s="83"/>
      <c r="L118" s="84"/>
    </row>
    <row r="119" spans="1:12" s="1" customFormat="1" ht="22.5" hidden="1" customHeight="1" x14ac:dyDescent="0.2">
      <c r="A119" s="131" t="s">
        <v>41</v>
      </c>
      <c r="B119" s="41" t="s">
        <v>48</v>
      </c>
      <c r="C119" s="52"/>
      <c r="D119" s="119" t="s">
        <v>37</v>
      </c>
      <c r="E119" s="81">
        <f t="shared" si="12"/>
        <v>0</v>
      </c>
      <c r="F119" s="82">
        <f>J119</f>
        <v>0</v>
      </c>
      <c r="G119" s="83">
        <f>K119</f>
        <v>0</v>
      </c>
      <c r="H119" s="84"/>
      <c r="I119" s="81">
        <f t="shared" si="13"/>
        <v>0</v>
      </c>
      <c r="J119" s="82"/>
      <c r="K119" s="83"/>
      <c r="L119" s="84"/>
    </row>
    <row r="120" spans="1:12" s="4" customFormat="1" ht="21.6" customHeight="1" x14ac:dyDescent="0.2">
      <c r="A120" s="420" t="s">
        <v>7</v>
      </c>
      <c r="B120" s="422" t="s">
        <v>49</v>
      </c>
      <c r="C120" s="52" t="s">
        <v>163</v>
      </c>
      <c r="D120" s="119" t="s">
        <v>37</v>
      </c>
      <c r="E120" s="81">
        <f t="shared" si="12"/>
        <v>29</v>
      </c>
      <c r="F120" s="82">
        <f>J120</f>
        <v>29</v>
      </c>
      <c r="G120" s="83">
        <f>K120</f>
        <v>8.5</v>
      </c>
      <c r="H120" s="84">
        <f>L120</f>
        <v>0</v>
      </c>
      <c r="I120" s="81">
        <f t="shared" si="13"/>
        <v>29</v>
      </c>
      <c r="J120" s="82">
        <v>29</v>
      </c>
      <c r="K120" s="83">
        <v>8.5</v>
      </c>
      <c r="L120" s="84"/>
    </row>
    <row r="121" spans="1:12" s="4" customFormat="1" ht="21.6" customHeight="1" x14ac:dyDescent="0.2">
      <c r="A121" s="421"/>
      <c r="B121" s="423"/>
      <c r="C121" s="52" t="s">
        <v>183</v>
      </c>
      <c r="D121" s="180" t="s">
        <v>52</v>
      </c>
      <c r="E121" s="81">
        <f t="shared" si="12"/>
        <v>3</v>
      </c>
      <c r="F121" s="82">
        <v>3</v>
      </c>
      <c r="G121" s="83"/>
      <c r="H121" s="84"/>
      <c r="I121" s="81"/>
      <c r="J121" s="82"/>
      <c r="K121" s="83"/>
      <c r="L121" s="84"/>
    </row>
    <row r="122" spans="1:12" s="1" customFormat="1" ht="23.25" customHeight="1" x14ac:dyDescent="0.2">
      <c r="A122" s="50"/>
      <c r="B122" s="57" t="s">
        <v>155</v>
      </c>
      <c r="C122" s="51" t="s">
        <v>105</v>
      </c>
      <c r="D122" s="120"/>
      <c r="E122" s="95">
        <f t="shared" si="12"/>
        <v>123.15300000000001</v>
      </c>
      <c r="F122" s="96">
        <f>SUM(F124:F127)</f>
        <v>123.15300000000001</v>
      </c>
      <c r="G122" s="97">
        <f>SUM(G124:G127)</f>
        <v>97.92</v>
      </c>
      <c r="H122" s="98">
        <f>SUM(H124:H127)</f>
        <v>0</v>
      </c>
      <c r="I122" s="95">
        <f t="shared" si="13"/>
        <v>30.073</v>
      </c>
      <c r="J122" s="96">
        <f>SUM(J124:J127)</f>
        <v>30.073</v>
      </c>
      <c r="K122" s="97">
        <f>SUM(K124:K127)</f>
        <v>27.47</v>
      </c>
      <c r="L122" s="98">
        <f>SUM(L124:L127)</f>
        <v>0</v>
      </c>
    </row>
    <row r="123" spans="1:12" s="1" customFormat="1" ht="17.45" customHeight="1" x14ac:dyDescent="0.2">
      <c r="A123" s="54"/>
      <c r="B123" s="6" t="s">
        <v>2</v>
      </c>
      <c r="C123" s="55"/>
      <c r="D123" s="120"/>
      <c r="E123" s="81"/>
      <c r="F123" s="82"/>
      <c r="G123" s="83"/>
      <c r="H123" s="84"/>
      <c r="I123" s="81"/>
      <c r="J123" s="82"/>
      <c r="K123" s="83"/>
      <c r="L123" s="84"/>
    </row>
    <row r="124" spans="1:12" s="1" customFormat="1" ht="17.45" customHeight="1" x14ac:dyDescent="0.2">
      <c r="A124" s="40" t="s">
        <v>23</v>
      </c>
      <c r="B124" s="41" t="s">
        <v>35</v>
      </c>
      <c r="C124" s="52" t="s">
        <v>77</v>
      </c>
      <c r="D124" s="119" t="s">
        <v>37</v>
      </c>
      <c r="E124" s="81">
        <f t="shared" ref="E124:E128" si="14">SUM(F124,H124)</f>
        <v>0.3</v>
      </c>
      <c r="F124" s="82">
        <v>0.3</v>
      </c>
      <c r="G124" s="83"/>
      <c r="H124" s="84"/>
      <c r="I124" s="81">
        <f t="shared" ref="I124:I126" si="15">SUM(J124,L124)</f>
        <v>0</v>
      </c>
      <c r="J124" s="82"/>
      <c r="K124" s="83"/>
      <c r="L124" s="84"/>
    </row>
    <row r="125" spans="1:12" s="4" customFormat="1" ht="21.6" customHeight="1" x14ac:dyDescent="0.2">
      <c r="A125" s="420" t="s">
        <v>26</v>
      </c>
      <c r="B125" s="422" t="s">
        <v>42</v>
      </c>
      <c r="C125" s="52" t="s">
        <v>78</v>
      </c>
      <c r="D125" s="119" t="s">
        <v>37</v>
      </c>
      <c r="E125" s="81">
        <f t="shared" si="14"/>
        <v>104.85000000000001</v>
      </c>
      <c r="F125" s="82">
        <f>J125+74.98+2</f>
        <v>104.85000000000001</v>
      </c>
      <c r="G125" s="83">
        <f>K125+70.45</f>
        <v>97.92</v>
      </c>
      <c r="H125" s="84"/>
      <c r="I125" s="81">
        <f t="shared" si="15"/>
        <v>27.87</v>
      </c>
      <c r="J125" s="82">
        <v>27.87</v>
      </c>
      <c r="K125" s="83">
        <v>27.47</v>
      </c>
      <c r="L125" s="84"/>
    </row>
    <row r="126" spans="1:12" s="4" customFormat="1" ht="21.6" customHeight="1" x14ac:dyDescent="0.2">
      <c r="A126" s="430"/>
      <c r="B126" s="423"/>
      <c r="C126" s="52" t="s">
        <v>164</v>
      </c>
      <c r="D126" s="131" t="s">
        <v>52</v>
      </c>
      <c r="E126" s="81">
        <f t="shared" si="14"/>
        <v>18.003</v>
      </c>
      <c r="F126" s="82">
        <f>J126+15.8</f>
        <v>18.003</v>
      </c>
      <c r="G126" s="83"/>
      <c r="H126" s="84"/>
      <c r="I126" s="81">
        <f t="shared" si="15"/>
        <v>2.2029999999999998</v>
      </c>
      <c r="J126" s="82">
        <v>2.2029999999999998</v>
      </c>
      <c r="K126" s="83"/>
      <c r="L126" s="84"/>
    </row>
    <row r="127" spans="1:12" s="1" customFormat="1" ht="22.9" hidden="1" customHeight="1" x14ac:dyDescent="0.2">
      <c r="A127" s="58"/>
      <c r="B127" s="59"/>
      <c r="C127" s="52"/>
      <c r="D127" s="119"/>
      <c r="E127" s="81"/>
      <c r="F127" s="82"/>
      <c r="G127" s="83"/>
      <c r="H127" s="84"/>
      <c r="I127" s="81"/>
      <c r="J127" s="82"/>
      <c r="K127" s="83"/>
      <c r="L127" s="84"/>
    </row>
    <row r="128" spans="1:12" s="1" customFormat="1" ht="25.15" customHeight="1" x14ac:dyDescent="0.2">
      <c r="A128" s="50"/>
      <c r="B128" s="60" t="s">
        <v>148</v>
      </c>
      <c r="C128" s="51" t="s">
        <v>106</v>
      </c>
      <c r="D128" s="119"/>
      <c r="E128" s="95">
        <f t="shared" si="14"/>
        <v>867.56400000000008</v>
      </c>
      <c r="F128" s="96">
        <f>SUM(F130:F140)</f>
        <v>757.06400000000008</v>
      </c>
      <c r="G128" s="97">
        <f>SUM(G131:G140)</f>
        <v>455.16699999999997</v>
      </c>
      <c r="H128" s="98">
        <f>SUM(H131:H140)</f>
        <v>110.5</v>
      </c>
      <c r="I128" s="95">
        <f t="shared" ref="I128" si="16">SUM(J128,L128)</f>
        <v>48.393999999999998</v>
      </c>
      <c r="J128" s="96">
        <f>SUM(J130:J140)</f>
        <v>42.393999999999998</v>
      </c>
      <c r="K128" s="97">
        <f>SUM(K131:K140)</f>
        <v>16.116999999999997</v>
      </c>
      <c r="L128" s="98">
        <f>SUM(L131:L140)</f>
        <v>6</v>
      </c>
    </row>
    <row r="129" spans="1:12" s="1" customFormat="1" ht="17.45" customHeight="1" x14ac:dyDescent="0.2">
      <c r="A129" s="54"/>
      <c r="B129" s="6" t="s">
        <v>2</v>
      </c>
      <c r="C129" s="55"/>
      <c r="D129" s="120"/>
      <c r="E129" s="81"/>
      <c r="F129" s="82"/>
      <c r="G129" s="83"/>
      <c r="H129" s="84"/>
      <c r="I129" s="81"/>
      <c r="J129" s="82"/>
      <c r="K129" s="83"/>
      <c r="L129" s="84"/>
    </row>
    <row r="130" spans="1:12" s="1" customFormat="1" ht="17.45" hidden="1" customHeight="1" x14ac:dyDescent="0.2">
      <c r="A130" s="130" t="s">
        <v>23</v>
      </c>
      <c r="B130" s="41" t="s">
        <v>35</v>
      </c>
      <c r="C130" s="52" t="s">
        <v>79</v>
      </c>
      <c r="D130" s="121" t="s">
        <v>37</v>
      </c>
      <c r="E130" s="81">
        <f t="shared" ref="E130:E140" si="17">SUM(F130,H130)</f>
        <v>0</v>
      </c>
      <c r="F130" s="82"/>
      <c r="G130" s="83"/>
      <c r="H130" s="84"/>
      <c r="I130" s="81">
        <f t="shared" ref="I130:I141" si="18">SUM(J130,L130)</f>
        <v>0</v>
      </c>
      <c r="J130" s="82"/>
      <c r="K130" s="83"/>
      <c r="L130" s="84"/>
    </row>
    <row r="131" spans="1:12" s="4" customFormat="1" ht="21.6" customHeight="1" x14ac:dyDescent="0.2">
      <c r="A131" s="46" t="s">
        <v>26</v>
      </c>
      <c r="B131" s="134" t="s">
        <v>42</v>
      </c>
      <c r="C131" s="52" t="s">
        <v>79</v>
      </c>
      <c r="D131" s="119" t="s">
        <v>37</v>
      </c>
      <c r="E131" s="81">
        <f t="shared" si="17"/>
        <v>454.51</v>
      </c>
      <c r="F131" s="82">
        <v>350.01</v>
      </c>
      <c r="G131" s="83">
        <v>287.35000000000002</v>
      </c>
      <c r="H131" s="84">
        <v>104.5</v>
      </c>
      <c r="I131" s="81">
        <f t="shared" si="18"/>
        <v>0</v>
      </c>
      <c r="J131" s="82"/>
      <c r="K131" s="83"/>
      <c r="L131" s="84"/>
    </row>
    <row r="132" spans="1:12" s="4" customFormat="1" ht="24.6" hidden="1" customHeight="1" x14ac:dyDescent="0.2">
      <c r="A132" s="428" t="s">
        <v>32</v>
      </c>
      <c r="B132" s="422" t="s">
        <v>43</v>
      </c>
      <c r="C132" s="52"/>
      <c r="D132" s="119" t="s">
        <v>37</v>
      </c>
      <c r="E132" s="81">
        <f t="shared" si="17"/>
        <v>0</v>
      </c>
      <c r="F132" s="82"/>
      <c r="G132" s="83"/>
      <c r="H132" s="84"/>
      <c r="I132" s="81">
        <f t="shared" si="18"/>
        <v>0</v>
      </c>
      <c r="J132" s="82"/>
      <c r="K132" s="83"/>
      <c r="L132" s="84"/>
    </row>
    <row r="133" spans="1:12" s="4" customFormat="1" ht="24.6" customHeight="1" x14ac:dyDescent="0.2">
      <c r="A133" s="429"/>
      <c r="B133" s="423"/>
      <c r="C133" s="52" t="s">
        <v>80</v>
      </c>
      <c r="D133" s="131" t="s">
        <v>52</v>
      </c>
      <c r="E133" s="81">
        <f t="shared" si="17"/>
        <v>92.407000000000011</v>
      </c>
      <c r="F133" s="82">
        <f>J133+79.4</f>
        <v>92.407000000000011</v>
      </c>
      <c r="G133" s="83">
        <f>K133+10</f>
        <v>16.259999999999998</v>
      </c>
      <c r="H133" s="84"/>
      <c r="I133" s="81">
        <f t="shared" si="18"/>
        <v>13.007</v>
      </c>
      <c r="J133" s="82">
        <f>K133+6.656+0.091</f>
        <v>13.007</v>
      </c>
      <c r="K133" s="83">
        <v>6.26</v>
      </c>
      <c r="L133" s="84"/>
    </row>
    <row r="134" spans="1:12" s="4" customFormat="1" ht="24.6" hidden="1" customHeight="1" x14ac:dyDescent="0.2">
      <c r="A134" s="62" t="s">
        <v>31</v>
      </c>
      <c r="B134" s="59" t="s">
        <v>44</v>
      </c>
      <c r="C134" s="52" t="s">
        <v>165</v>
      </c>
      <c r="D134" s="119" t="s">
        <v>37</v>
      </c>
      <c r="E134" s="81">
        <f t="shared" si="17"/>
        <v>0</v>
      </c>
      <c r="F134" s="82"/>
      <c r="G134" s="83"/>
      <c r="H134" s="84"/>
      <c r="I134" s="81">
        <f t="shared" si="18"/>
        <v>0</v>
      </c>
      <c r="J134" s="82"/>
      <c r="K134" s="83"/>
      <c r="L134" s="84"/>
    </row>
    <row r="135" spans="1:12" s="4" customFormat="1" ht="25.5" hidden="1" customHeight="1" x14ac:dyDescent="0.2">
      <c r="A135" s="62" t="s">
        <v>40</v>
      </c>
      <c r="B135" s="59" t="s">
        <v>115</v>
      </c>
      <c r="C135" s="52" t="s">
        <v>166</v>
      </c>
      <c r="D135" s="119" t="s">
        <v>37</v>
      </c>
      <c r="E135" s="81">
        <f t="shared" si="17"/>
        <v>0</v>
      </c>
      <c r="F135" s="82"/>
      <c r="G135" s="83"/>
      <c r="H135" s="84"/>
      <c r="I135" s="81">
        <f t="shared" si="18"/>
        <v>0</v>
      </c>
      <c r="J135" s="82"/>
      <c r="K135" s="83"/>
      <c r="L135" s="84"/>
    </row>
    <row r="136" spans="1:12" s="4" customFormat="1" ht="26.25" hidden="1" customHeight="1" x14ac:dyDescent="0.2">
      <c r="A136" s="62" t="s">
        <v>24</v>
      </c>
      <c r="B136" s="59" t="s">
        <v>45</v>
      </c>
      <c r="C136" s="61" t="s">
        <v>167</v>
      </c>
      <c r="D136" s="119" t="s">
        <v>37</v>
      </c>
      <c r="E136" s="81">
        <f t="shared" si="17"/>
        <v>0</v>
      </c>
      <c r="F136" s="82"/>
      <c r="G136" s="83"/>
      <c r="H136" s="84"/>
      <c r="I136" s="81">
        <f t="shared" si="18"/>
        <v>0</v>
      </c>
      <c r="J136" s="82"/>
      <c r="K136" s="83"/>
      <c r="L136" s="84"/>
    </row>
    <row r="137" spans="1:12" s="4" customFormat="1" ht="26.25" customHeight="1" x14ac:dyDescent="0.2">
      <c r="A137" s="46" t="s">
        <v>33</v>
      </c>
      <c r="B137" s="134" t="s">
        <v>47</v>
      </c>
      <c r="C137" s="52" t="s">
        <v>81</v>
      </c>
      <c r="D137" s="131" t="s">
        <v>37</v>
      </c>
      <c r="E137" s="81">
        <f t="shared" si="17"/>
        <v>1.53</v>
      </c>
      <c r="F137" s="82">
        <v>1.53</v>
      </c>
      <c r="G137" s="83"/>
      <c r="H137" s="84"/>
      <c r="I137" s="81">
        <f t="shared" si="18"/>
        <v>0</v>
      </c>
      <c r="J137" s="82"/>
      <c r="K137" s="83"/>
      <c r="L137" s="84"/>
    </row>
    <row r="138" spans="1:12" s="4" customFormat="1" ht="24" customHeight="1" x14ac:dyDescent="0.2">
      <c r="A138" s="428" t="s">
        <v>41</v>
      </c>
      <c r="B138" s="422" t="s">
        <v>48</v>
      </c>
      <c r="C138" s="52" t="s">
        <v>107</v>
      </c>
      <c r="D138" s="119" t="s">
        <v>37</v>
      </c>
      <c r="E138" s="81">
        <f t="shared" si="17"/>
        <v>142.97999999999999</v>
      </c>
      <c r="F138" s="82">
        <v>142.97999999999999</v>
      </c>
      <c r="G138" s="83">
        <v>94.65</v>
      </c>
      <c r="H138" s="84"/>
      <c r="I138" s="81">
        <f t="shared" si="18"/>
        <v>0</v>
      </c>
      <c r="J138" s="82"/>
      <c r="K138" s="83"/>
      <c r="L138" s="84"/>
    </row>
    <row r="139" spans="1:12" s="4" customFormat="1" ht="24.75" customHeight="1" x14ac:dyDescent="0.2">
      <c r="A139" s="429"/>
      <c r="B139" s="423"/>
      <c r="C139" s="52" t="s">
        <v>165</v>
      </c>
      <c r="D139" s="131" t="s">
        <v>52</v>
      </c>
      <c r="E139" s="81">
        <f t="shared" si="17"/>
        <v>132.68700000000001</v>
      </c>
      <c r="F139" s="82">
        <f>J139+97.3</f>
        <v>126.687</v>
      </c>
      <c r="G139" s="83">
        <f>K139+20</f>
        <v>29.856999999999999</v>
      </c>
      <c r="H139" s="84">
        <f>L139</f>
        <v>6</v>
      </c>
      <c r="I139" s="81">
        <f t="shared" si="18"/>
        <v>35.387</v>
      </c>
      <c r="J139" s="82">
        <f>29.372-L139+5.978+0.037</f>
        <v>29.387</v>
      </c>
      <c r="K139" s="83">
        <v>9.8569999999999993</v>
      </c>
      <c r="L139" s="84">
        <v>6</v>
      </c>
    </row>
    <row r="140" spans="1:12" s="1" customFormat="1" ht="22.5" customHeight="1" x14ac:dyDescent="0.2">
      <c r="A140" s="62" t="s">
        <v>7</v>
      </c>
      <c r="B140" s="59" t="s">
        <v>49</v>
      </c>
      <c r="C140" s="52" t="s">
        <v>166</v>
      </c>
      <c r="D140" s="121" t="s">
        <v>37</v>
      </c>
      <c r="E140" s="81">
        <f t="shared" si="17"/>
        <v>43.45</v>
      </c>
      <c r="F140" s="82">
        <v>43.45</v>
      </c>
      <c r="G140" s="83">
        <v>27.05</v>
      </c>
      <c r="H140" s="84"/>
      <c r="I140" s="81">
        <f t="shared" si="18"/>
        <v>0</v>
      </c>
      <c r="J140" s="82"/>
      <c r="K140" s="83"/>
      <c r="L140" s="84"/>
    </row>
    <row r="141" spans="1:12" s="1" customFormat="1" ht="29.25" customHeight="1" x14ac:dyDescent="0.2">
      <c r="A141" s="50"/>
      <c r="B141" s="37" t="s">
        <v>17</v>
      </c>
      <c r="C141" s="51" t="s">
        <v>108</v>
      </c>
      <c r="D141" s="120"/>
      <c r="E141" s="95">
        <f>SUM(F141,H141)</f>
        <v>862.37899999999991</v>
      </c>
      <c r="F141" s="96">
        <f>SUM(F143:F151)</f>
        <v>851.69899999999996</v>
      </c>
      <c r="G141" s="97">
        <f>SUM(G143:G150)</f>
        <v>712.71199999999999</v>
      </c>
      <c r="H141" s="98">
        <f>SUM(H143:H151)</f>
        <v>10.68</v>
      </c>
      <c r="I141" s="95">
        <f t="shared" si="18"/>
        <v>1.498</v>
      </c>
      <c r="J141" s="96">
        <f>SUM(J143:J150)</f>
        <v>1.018</v>
      </c>
      <c r="K141" s="97">
        <f>SUM(K144:K150)</f>
        <v>0</v>
      </c>
      <c r="L141" s="98">
        <f>SUM(L144:L150)</f>
        <v>0.48</v>
      </c>
    </row>
    <row r="142" spans="1:12" s="1" customFormat="1" ht="17.45" customHeight="1" x14ac:dyDescent="0.2">
      <c r="A142" s="54"/>
      <c r="B142" s="6" t="s">
        <v>2</v>
      </c>
      <c r="C142" s="55"/>
      <c r="D142" s="120"/>
      <c r="E142" s="81"/>
      <c r="F142" s="82"/>
      <c r="G142" s="83"/>
      <c r="H142" s="84"/>
      <c r="I142" s="81"/>
      <c r="J142" s="82"/>
      <c r="K142" s="83"/>
      <c r="L142" s="84"/>
    </row>
    <row r="143" spans="1:12" s="1" customFormat="1" ht="22.5" customHeight="1" x14ac:dyDescent="0.2">
      <c r="A143" s="130" t="s">
        <v>26</v>
      </c>
      <c r="B143" s="128" t="s">
        <v>42</v>
      </c>
      <c r="C143" s="52" t="s">
        <v>82</v>
      </c>
      <c r="D143" s="119" t="s">
        <v>37</v>
      </c>
      <c r="E143" s="81">
        <f>SUM(F143,H143)</f>
        <v>1.331</v>
      </c>
      <c r="F143" s="82">
        <v>1.331</v>
      </c>
      <c r="G143" s="83">
        <v>1.3120000000000001</v>
      </c>
      <c r="H143" s="84"/>
      <c r="I143" s="81"/>
      <c r="J143" s="82"/>
      <c r="K143" s="83"/>
      <c r="L143" s="84"/>
    </row>
    <row r="144" spans="1:12" s="4" customFormat="1" ht="21.6" customHeight="1" x14ac:dyDescent="0.2">
      <c r="A144" s="420" t="s">
        <v>32</v>
      </c>
      <c r="B144" s="422" t="s">
        <v>117</v>
      </c>
      <c r="C144" s="52" t="s">
        <v>83</v>
      </c>
      <c r="D144" s="119" t="s">
        <v>37</v>
      </c>
      <c r="E144" s="81">
        <f>SUM(F144,H144)</f>
        <v>805.16</v>
      </c>
      <c r="F144" s="82">
        <f>794.76+1.8</f>
        <v>796.56</v>
      </c>
      <c r="G144" s="83">
        <v>695.4</v>
      </c>
      <c r="H144" s="84">
        <v>8.6</v>
      </c>
      <c r="I144" s="81">
        <f>SUM(J144,L144)</f>
        <v>0</v>
      </c>
      <c r="J144" s="82"/>
      <c r="K144" s="83"/>
      <c r="L144" s="84"/>
    </row>
    <row r="145" spans="1:12" s="4" customFormat="1" ht="21.6" customHeight="1" x14ac:dyDescent="0.2">
      <c r="A145" s="421"/>
      <c r="B145" s="423"/>
      <c r="C145" s="52" t="s">
        <v>84</v>
      </c>
      <c r="D145" s="131" t="s">
        <v>52</v>
      </c>
      <c r="E145" s="81">
        <f>SUM(F145,H145)</f>
        <v>52.798000000000002</v>
      </c>
      <c r="F145" s="82">
        <f>J145+49.7</f>
        <v>50.718000000000004</v>
      </c>
      <c r="G145" s="83">
        <v>16</v>
      </c>
      <c r="H145" s="84">
        <f>L145+1.6</f>
        <v>2.08</v>
      </c>
      <c r="I145" s="81">
        <f>SUM(J145,L145)</f>
        <v>1.498</v>
      </c>
      <c r="J145" s="82">
        <v>1.018</v>
      </c>
      <c r="K145" s="83"/>
      <c r="L145" s="84">
        <v>0.48</v>
      </c>
    </row>
    <row r="146" spans="1:12" s="4" customFormat="1" ht="27.75" hidden="1" customHeight="1" x14ac:dyDescent="0.2">
      <c r="A146" s="131" t="s">
        <v>31</v>
      </c>
      <c r="B146" s="129" t="s">
        <v>44</v>
      </c>
      <c r="C146" s="52"/>
      <c r="D146" s="131" t="s">
        <v>37</v>
      </c>
      <c r="E146" s="81"/>
      <c r="F146" s="82"/>
      <c r="G146" s="83"/>
      <c r="H146" s="84"/>
      <c r="I146" s="81"/>
      <c r="J146" s="82"/>
      <c r="K146" s="83"/>
      <c r="L146" s="84"/>
    </row>
    <row r="147" spans="1:12" s="4" customFormat="1" ht="21.6" hidden="1" customHeight="1" x14ac:dyDescent="0.2">
      <c r="A147" s="137" t="s">
        <v>40</v>
      </c>
      <c r="B147" s="47" t="s">
        <v>115</v>
      </c>
      <c r="C147" s="52"/>
      <c r="D147" s="131" t="s">
        <v>37</v>
      </c>
      <c r="E147" s="81"/>
      <c r="F147" s="82"/>
      <c r="G147" s="83"/>
      <c r="H147" s="84"/>
      <c r="I147" s="81"/>
      <c r="J147" s="82"/>
      <c r="K147" s="83"/>
      <c r="L147" s="84"/>
    </row>
    <row r="148" spans="1:12" s="4" customFormat="1" ht="21.6" hidden="1" customHeight="1" x14ac:dyDescent="0.2">
      <c r="A148" s="58" t="s">
        <v>24</v>
      </c>
      <c r="B148" s="59" t="s">
        <v>45</v>
      </c>
      <c r="C148" s="52"/>
      <c r="D148" s="131" t="s">
        <v>37</v>
      </c>
      <c r="E148" s="81"/>
      <c r="F148" s="82"/>
      <c r="G148" s="83"/>
      <c r="H148" s="84"/>
      <c r="I148" s="81"/>
      <c r="J148" s="82"/>
      <c r="K148" s="83"/>
      <c r="L148" s="84"/>
    </row>
    <row r="149" spans="1:12" s="4" customFormat="1" ht="21.6" customHeight="1" x14ac:dyDescent="0.2">
      <c r="A149" s="131" t="s">
        <v>33</v>
      </c>
      <c r="B149" s="28" t="s">
        <v>47</v>
      </c>
      <c r="C149" s="52" t="s">
        <v>85</v>
      </c>
      <c r="D149" s="131" t="s">
        <v>37</v>
      </c>
      <c r="E149" s="81">
        <f>SUM(F149,H149)</f>
        <v>0.09</v>
      </c>
      <c r="F149" s="82">
        <v>0.09</v>
      </c>
      <c r="G149" s="83"/>
      <c r="H149" s="84"/>
      <c r="I149" s="81">
        <f>SUM(J149,L149)</f>
        <v>0</v>
      </c>
      <c r="J149" s="82"/>
      <c r="K149" s="83"/>
      <c r="L149" s="84"/>
    </row>
    <row r="150" spans="1:12" s="4" customFormat="1" ht="21.6" hidden="1" customHeight="1" x14ac:dyDescent="0.2">
      <c r="A150" s="428" t="s">
        <v>7</v>
      </c>
      <c r="B150" s="422" t="s">
        <v>49</v>
      </c>
      <c r="C150" s="52"/>
      <c r="D150" s="121" t="s">
        <v>37</v>
      </c>
      <c r="E150" s="81">
        <f t="shared" ref="E150:E151" si="19">SUM(F150,H150)</f>
        <v>0</v>
      </c>
      <c r="F150" s="82">
        <f>J150</f>
        <v>0</v>
      </c>
      <c r="G150" s="83"/>
      <c r="H150" s="84"/>
      <c r="I150" s="81">
        <f>SUM(J150,L150)</f>
        <v>0</v>
      </c>
      <c r="J150" s="82"/>
      <c r="K150" s="83"/>
      <c r="L150" s="84"/>
    </row>
    <row r="151" spans="1:12" s="4" customFormat="1" ht="21.6" customHeight="1" x14ac:dyDescent="0.2">
      <c r="A151" s="429"/>
      <c r="B151" s="423"/>
      <c r="C151" s="52" t="s">
        <v>184</v>
      </c>
      <c r="D151" s="180" t="s">
        <v>52</v>
      </c>
      <c r="E151" s="81">
        <f t="shared" si="19"/>
        <v>3</v>
      </c>
      <c r="F151" s="82">
        <v>3</v>
      </c>
      <c r="G151" s="83"/>
      <c r="H151" s="84"/>
      <c r="I151" s="81"/>
      <c r="J151" s="82"/>
      <c r="K151" s="83"/>
      <c r="L151" s="84"/>
    </row>
    <row r="152" spans="1:12" s="1" customFormat="1" ht="22.9" customHeight="1" x14ac:dyDescent="0.2">
      <c r="A152" s="50"/>
      <c r="B152" s="37" t="s">
        <v>19</v>
      </c>
      <c r="C152" s="51" t="s">
        <v>109</v>
      </c>
      <c r="D152" s="120"/>
      <c r="E152" s="95">
        <f>SUM(F152,H152)</f>
        <v>262.642</v>
      </c>
      <c r="F152" s="96">
        <f>SUM(F154:F155)</f>
        <v>262.642</v>
      </c>
      <c r="G152" s="97">
        <f>SUM(G154:G155)</f>
        <v>231.6</v>
      </c>
      <c r="H152" s="98">
        <f>SUM(H154:H155)</f>
        <v>0</v>
      </c>
      <c r="I152" s="95">
        <f>SUM(J152,L152)</f>
        <v>4.2000000000000003E-2</v>
      </c>
      <c r="J152" s="96">
        <f>SUM(J154:J155)</f>
        <v>4.2000000000000003E-2</v>
      </c>
      <c r="K152" s="97">
        <f>SUM(K154:K155)</f>
        <v>0</v>
      </c>
      <c r="L152" s="98">
        <f>SUM(L154:L155)</f>
        <v>0</v>
      </c>
    </row>
    <row r="153" spans="1:12" s="1" customFormat="1" ht="17.45" customHeight="1" x14ac:dyDescent="0.2">
      <c r="A153" s="54"/>
      <c r="B153" s="6" t="s">
        <v>2</v>
      </c>
      <c r="C153" s="55"/>
      <c r="D153" s="120"/>
      <c r="E153" s="81"/>
      <c r="F153" s="82"/>
      <c r="G153" s="83"/>
      <c r="H153" s="84"/>
      <c r="I153" s="81"/>
      <c r="J153" s="82"/>
      <c r="K153" s="83"/>
      <c r="L153" s="84"/>
    </row>
    <row r="154" spans="1:12" s="4" customFormat="1" ht="21.6" customHeight="1" x14ac:dyDescent="0.2">
      <c r="A154" s="420" t="s">
        <v>31</v>
      </c>
      <c r="B154" s="422" t="s">
        <v>44</v>
      </c>
      <c r="C154" s="52" t="s">
        <v>86</v>
      </c>
      <c r="D154" s="119" t="s">
        <v>37</v>
      </c>
      <c r="E154" s="81">
        <f>SUM(F154,H154)</f>
        <v>261.39999999999998</v>
      </c>
      <c r="F154" s="82">
        <f>259.7+1.7</f>
        <v>261.39999999999998</v>
      </c>
      <c r="G154" s="83">
        <v>231.6</v>
      </c>
      <c r="H154" s="84"/>
      <c r="I154" s="81">
        <f>SUM(J154,L154)</f>
        <v>0</v>
      </c>
      <c r="J154" s="82"/>
      <c r="K154" s="83"/>
      <c r="L154" s="84"/>
    </row>
    <row r="155" spans="1:12" s="4" customFormat="1" ht="21.6" customHeight="1" x14ac:dyDescent="0.2">
      <c r="A155" s="421"/>
      <c r="B155" s="423"/>
      <c r="C155" s="52" t="s">
        <v>87</v>
      </c>
      <c r="D155" s="131" t="s">
        <v>52</v>
      </c>
      <c r="E155" s="81">
        <f>SUM(F155,H155)</f>
        <v>1.242</v>
      </c>
      <c r="F155" s="82">
        <f>J155+1.2</f>
        <v>1.242</v>
      </c>
      <c r="G155" s="83"/>
      <c r="H155" s="84"/>
      <c r="I155" s="81">
        <f>SUM(J155,L155)</f>
        <v>4.2000000000000003E-2</v>
      </c>
      <c r="J155" s="82">
        <v>4.2000000000000003E-2</v>
      </c>
      <c r="K155" s="83"/>
      <c r="L155" s="84"/>
    </row>
    <row r="156" spans="1:12" s="4" customFormat="1" ht="21.6" hidden="1" customHeight="1" x14ac:dyDescent="0.2">
      <c r="A156" s="62" t="s">
        <v>7</v>
      </c>
      <c r="B156" s="59" t="s">
        <v>49</v>
      </c>
      <c r="C156" s="52" t="s">
        <v>196</v>
      </c>
      <c r="D156" s="131"/>
      <c r="E156" s="81"/>
      <c r="F156" s="82"/>
      <c r="G156" s="83"/>
      <c r="H156" s="84"/>
      <c r="I156" s="81"/>
      <c r="J156" s="82"/>
      <c r="K156" s="83"/>
      <c r="L156" s="84"/>
    </row>
    <row r="157" spans="1:12" s="1" customFormat="1" ht="24" customHeight="1" x14ac:dyDescent="0.2">
      <c r="A157" s="50"/>
      <c r="B157" s="37" t="s">
        <v>18</v>
      </c>
      <c r="C157" s="51" t="s">
        <v>110</v>
      </c>
      <c r="D157" s="120"/>
      <c r="E157" s="95">
        <f>SUM(F157,H157)</f>
        <v>865.65900000000011</v>
      </c>
      <c r="F157" s="96">
        <f>SUM(F159:F162)</f>
        <v>861.65900000000011</v>
      </c>
      <c r="G157" s="97">
        <f>SUM(G159:G162)</f>
        <v>681.95999999999992</v>
      </c>
      <c r="H157" s="98">
        <f>SUM(H159:H162)</f>
        <v>4</v>
      </c>
      <c r="I157" s="95">
        <f>SUM(J157,L157)</f>
        <v>8.4589999999999996</v>
      </c>
      <c r="J157" s="96">
        <f>SUM(J159:J162)</f>
        <v>8.4589999999999996</v>
      </c>
      <c r="K157" s="97">
        <f>SUM(K159:K160)</f>
        <v>0</v>
      </c>
      <c r="L157" s="98">
        <f>SUM(L159:L162)</f>
        <v>0</v>
      </c>
    </row>
    <row r="158" spans="1:12" s="1" customFormat="1" ht="17.45" customHeight="1" x14ac:dyDescent="0.2">
      <c r="A158" s="54"/>
      <c r="B158" s="6" t="s">
        <v>2</v>
      </c>
      <c r="C158" s="55"/>
      <c r="D158" s="120"/>
      <c r="E158" s="81"/>
      <c r="F158" s="82"/>
      <c r="G158" s="83"/>
      <c r="H158" s="84"/>
      <c r="I158" s="81"/>
      <c r="J158" s="82"/>
      <c r="K158" s="83"/>
      <c r="L158" s="84"/>
    </row>
    <row r="159" spans="1:12" s="4" customFormat="1" ht="21.6" customHeight="1" x14ac:dyDescent="0.2">
      <c r="A159" s="420" t="s">
        <v>31</v>
      </c>
      <c r="B159" s="422" t="s">
        <v>44</v>
      </c>
      <c r="C159" s="52" t="s">
        <v>88</v>
      </c>
      <c r="D159" s="119" t="s">
        <v>37</v>
      </c>
      <c r="E159" s="81">
        <f>SUM(F159,H159)</f>
        <v>817.42000000000007</v>
      </c>
      <c r="F159" s="82">
        <f>J159+774.62+71-33.9</f>
        <v>817.42000000000007</v>
      </c>
      <c r="G159" s="83">
        <f>703.75+1.18-33.25</f>
        <v>671.68</v>
      </c>
      <c r="H159" s="84"/>
      <c r="I159" s="81">
        <f>SUM(J159,L159)</f>
        <v>5.7</v>
      </c>
      <c r="J159" s="82">
        <v>5.7</v>
      </c>
      <c r="K159" s="83"/>
      <c r="L159" s="84"/>
    </row>
    <row r="160" spans="1:12" s="4" customFormat="1" ht="21.6" customHeight="1" x14ac:dyDescent="0.2">
      <c r="A160" s="421"/>
      <c r="B160" s="423"/>
      <c r="C160" s="52" t="s">
        <v>89</v>
      </c>
      <c r="D160" s="131" t="s">
        <v>52</v>
      </c>
      <c r="E160" s="81">
        <f>SUM(F160,H160)</f>
        <v>46.259</v>
      </c>
      <c r="F160" s="82">
        <f>J160+39.7-0.2</f>
        <v>42.259</v>
      </c>
      <c r="G160" s="83">
        <v>10.28</v>
      </c>
      <c r="H160" s="84">
        <v>4</v>
      </c>
      <c r="I160" s="81">
        <f>SUM(J160,L160)</f>
        <v>2.7589999999999999</v>
      </c>
      <c r="J160" s="82">
        <v>2.7589999999999999</v>
      </c>
      <c r="K160" s="83"/>
      <c r="L160" s="84"/>
    </row>
    <row r="161" spans="1:12" s="4" customFormat="1" ht="21.6" customHeight="1" x14ac:dyDescent="0.2">
      <c r="A161" s="46" t="s">
        <v>33</v>
      </c>
      <c r="B161" s="134" t="s">
        <v>47</v>
      </c>
      <c r="C161" s="52" t="s">
        <v>168</v>
      </c>
      <c r="D161" s="131" t="s">
        <v>37</v>
      </c>
      <c r="E161" s="81">
        <f>SUM(F161,H161)</f>
        <v>1.98</v>
      </c>
      <c r="F161" s="82">
        <v>1.98</v>
      </c>
      <c r="G161" s="83"/>
      <c r="H161" s="84"/>
      <c r="I161" s="81">
        <f>SUM(J161,L161)</f>
        <v>0</v>
      </c>
      <c r="J161" s="82"/>
      <c r="K161" s="83"/>
      <c r="L161" s="84"/>
    </row>
    <row r="162" spans="1:12" s="4" customFormat="1" ht="21.6" hidden="1" customHeight="1" x14ac:dyDescent="0.2">
      <c r="A162" s="62" t="s">
        <v>7</v>
      </c>
      <c r="B162" s="59" t="s">
        <v>49</v>
      </c>
      <c r="C162" s="52" t="s">
        <v>169</v>
      </c>
      <c r="D162" s="121" t="s">
        <v>37</v>
      </c>
      <c r="E162" s="81">
        <f t="shared" ref="E162" si="20">SUM(F162,H162)</f>
        <v>0</v>
      </c>
      <c r="F162" s="82">
        <f>J162</f>
        <v>0</v>
      </c>
      <c r="G162" s="83"/>
      <c r="H162" s="84">
        <f>L162</f>
        <v>0</v>
      </c>
      <c r="I162" s="81">
        <f t="shared" ref="I162" si="21">SUM(J162,L162)</f>
        <v>0</v>
      </c>
      <c r="J162" s="82"/>
      <c r="K162" s="83"/>
      <c r="L162" s="84"/>
    </row>
    <row r="163" spans="1:12" s="1" customFormat="1" ht="27.6" customHeight="1" x14ac:dyDescent="0.2">
      <c r="A163" s="50"/>
      <c r="B163" s="37" t="s">
        <v>16</v>
      </c>
      <c r="C163" s="51" t="s">
        <v>111</v>
      </c>
      <c r="D163" s="119"/>
      <c r="E163" s="95">
        <f>SUM(F163,H163)</f>
        <v>490.64500000000004</v>
      </c>
      <c r="F163" s="96">
        <f>SUM(F165:F170)</f>
        <v>487.14500000000004</v>
      </c>
      <c r="G163" s="97">
        <f>SUM(G165:G170)</f>
        <v>357.99199999999996</v>
      </c>
      <c r="H163" s="98">
        <f>SUM(H166:H170)</f>
        <v>3.5</v>
      </c>
      <c r="I163" s="95">
        <f>SUM(J163,L163)</f>
        <v>0.33500000000000002</v>
      </c>
      <c r="J163" s="96">
        <f>SUM(J166:J170)</f>
        <v>0.33500000000000002</v>
      </c>
      <c r="K163" s="97">
        <f>SUM(K166:K170)</f>
        <v>0</v>
      </c>
      <c r="L163" s="98">
        <f>SUM(L166:L170)</f>
        <v>0</v>
      </c>
    </row>
    <row r="164" spans="1:12" s="1" customFormat="1" ht="17.45" customHeight="1" x14ac:dyDescent="0.2">
      <c r="A164" s="54"/>
      <c r="B164" s="6" t="s">
        <v>2</v>
      </c>
      <c r="C164" s="55"/>
      <c r="D164" s="120"/>
      <c r="E164" s="81"/>
      <c r="F164" s="82"/>
      <c r="G164" s="83"/>
      <c r="H164" s="84"/>
      <c r="I164" s="81"/>
      <c r="J164" s="82"/>
      <c r="K164" s="83"/>
      <c r="L164" s="84"/>
    </row>
    <row r="165" spans="1:12" s="1" customFormat="1" ht="17.45" hidden="1" customHeight="1" x14ac:dyDescent="0.2">
      <c r="A165" s="130" t="s">
        <v>26</v>
      </c>
      <c r="B165" s="128" t="s">
        <v>42</v>
      </c>
      <c r="C165" s="52"/>
      <c r="D165" s="119" t="s">
        <v>37</v>
      </c>
      <c r="E165" s="81"/>
      <c r="F165" s="82"/>
      <c r="G165" s="83"/>
      <c r="H165" s="84"/>
      <c r="I165" s="81"/>
      <c r="J165" s="82"/>
      <c r="K165" s="83"/>
      <c r="L165" s="84"/>
    </row>
    <row r="166" spans="1:12" s="4" customFormat="1" ht="21.6" customHeight="1" x14ac:dyDescent="0.2">
      <c r="A166" s="420" t="s">
        <v>24</v>
      </c>
      <c r="B166" s="422" t="s">
        <v>45</v>
      </c>
      <c r="C166" s="52" t="s">
        <v>90</v>
      </c>
      <c r="D166" s="119" t="s">
        <v>37</v>
      </c>
      <c r="E166" s="81">
        <f>SUM(F166,H166)</f>
        <v>297.10199999999998</v>
      </c>
      <c r="F166" s="82">
        <f>J166+229.9+29.73+33.9</f>
        <v>293.60199999999998</v>
      </c>
      <c r="G166" s="83">
        <f>163.15+22+33.25</f>
        <v>218.4</v>
      </c>
      <c r="H166" s="84">
        <v>3.5</v>
      </c>
      <c r="I166" s="81">
        <f>SUM(J166,L166)</f>
        <v>7.1999999999999995E-2</v>
      </c>
      <c r="J166" s="82">
        <v>7.1999999999999995E-2</v>
      </c>
      <c r="K166" s="83"/>
      <c r="L166" s="84"/>
    </row>
    <row r="167" spans="1:12" s="4" customFormat="1" ht="21.6" customHeight="1" x14ac:dyDescent="0.2">
      <c r="A167" s="421"/>
      <c r="B167" s="423"/>
      <c r="C167" s="52" t="s">
        <v>91</v>
      </c>
      <c r="D167" s="131" t="s">
        <v>52</v>
      </c>
      <c r="E167" s="81">
        <f>SUM(F167,H167)</f>
        <v>190.26300000000001</v>
      </c>
      <c r="F167" s="82">
        <f>J167+190</f>
        <v>190.26300000000001</v>
      </c>
      <c r="G167" s="83">
        <v>139</v>
      </c>
      <c r="H167" s="84"/>
      <c r="I167" s="81">
        <f>SUM(J167,L167)</f>
        <v>0.26300000000000001</v>
      </c>
      <c r="J167" s="82">
        <v>0.26300000000000001</v>
      </c>
      <c r="K167" s="83"/>
      <c r="L167" s="84"/>
    </row>
    <row r="168" spans="1:12" s="4" customFormat="1" ht="25.5" customHeight="1" x14ac:dyDescent="0.2">
      <c r="A168" s="178" t="s">
        <v>34</v>
      </c>
      <c r="B168" s="59" t="s">
        <v>46</v>
      </c>
      <c r="C168" s="52" t="s">
        <v>92</v>
      </c>
      <c r="D168" s="119" t="s">
        <v>37</v>
      </c>
      <c r="E168" s="81">
        <f>SUM(F168,H168)</f>
        <v>0.6</v>
      </c>
      <c r="F168" s="82">
        <v>0.6</v>
      </c>
      <c r="G168" s="83">
        <v>0.59199999999999997</v>
      </c>
      <c r="H168" s="84"/>
      <c r="I168" s="81">
        <f>SUM(J168,L168)</f>
        <v>0</v>
      </c>
      <c r="J168" s="82"/>
      <c r="K168" s="83"/>
      <c r="L168" s="84"/>
    </row>
    <row r="169" spans="1:12" s="4" customFormat="1" ht="21.6" customHeight="1" x14ac:dyDescent="0.2">
      <c r="A169" s="131" t="s">
        <v>33</v>
      </c>
      <c r="B169" s="28" t="s">
        <v>47</v>
      </c>
      <c r="C169" s="52" t="s">
        <v>170</v>
      </c>
      <c r="D169" s="131" t="s">
        <v>37</v>
      </c>
      <c r="E169" s="81">
        <f>SUM(F169,H169)</f>
        <v>2.68</v>
      </c>
      <c r="F169" s="82">
        <v>2.68</v>
      </c>
      <c r="G169" s="83"/>
      <c r="H169" s="84"/>
      <c r="I169" s="81">
        <f>SUM(J169,L169)</f>
        <v>0</v>
      </c>
      <c r="J169" s="82"/>
      <c r="K169" s="83"/>
      <c r="L169" s="84"/>
    </row>
    <row r="170" spans="1:12" s="4" customFormat="1" ht="21.6" hidden="1" customHeight="1" x14ac:dyDescent="0.2">
      <c r="A170" s="62" t="s">
        <v>7</v>
      </c>
      <c r="B170" s="59" t="s">
        <v>49</v>
      </c>
      <c r="C170" s="52" t="s">
        <v>185</v>
      </c>
      <c r="D170" s="121" t="s">
        <v>37</v>
      </c>
      <c r="E170" s="81">
        <f t="shared" ref="E170" si="22">SUM(F170,H170)</f>
        <v>0</v>
      </c>
      <c r="F170" s="82"/>
      <c r="G170" s="83"/>
      <c r="H170" s="84"/>
      <c r="I170" s="81">
        <f t="shared" ref="I170" si="23">SUM(J170,L170)</f>
        <v>0</v>
      </c>
      <c r="J170" s="82"/>
      <c r="K170" s="83"/>
      <c r="L170" s="84"/>
    </row>
    <row r="171" spans="1:12" s="1" customFormat="1" ht="24.6" customHeight="1" x14ac:dyDescent="0.2">
      <c r="A171" s="54"/>
      <c r="B171" s="37" t="s">
        <v>152</v>
      </c>
      <c r="C171" s="63" t="s">
        <v>112</v>
      </c>
      <c r="D171" s="122"/>
      <c r="E171" s="95">
        <f>SUM(F171,H171)</f>
        <v>473.37099999999998</v>
      </c>
      <c r="F171" s="96">
        <f>SUM(F173:F177)</f>
        <v>470.37099999999998</v>
      </c>
      <c r="G171" s="97">
        <f>SUM(G173:G177)</f>
        <v>376.38</v>
      </c>
      <c r="H171" s="98">
        <f>SUM(H173:H177)</f>
        <v>3</v>
      </c>
      <c r="I171" s="95">
        <f>SUM(J171,L171)</f>
        <v>6.0999999999999999E-2</v>
      </c>
      <c r="J171" s="96">
        <f>SUM(J174:J177)</f>
        <v>6.0999999999999999E-2</v>
      </c>
      <c r="K171" s="97">
        <f>SUM(K174:K176)</f>
        <v>0</v>
      </c>
      <c r="L171" s="98">
        <f>SUM(L174:L176)</f>
        <v>0</v>
      </c>
    </row>
    <row r="172" spans="1:12" s="1" customFormat="1" ht="17.45" customHeight="1" x14ac:dyDescent="0.2">
      <c r="A172" s="54"/>
      <c r="B172" s="6" t="s">
        <v>2</v>
      </c>
      <c r="C172" s="55"/>
      <c r="D172" s="120"/>
      <c r="E172" s="81"/>
      <c r="F172" s="82"/>
      <c r="G172" s="83"/>
      <c r="H172" s="84"/>
      <c r="I172" s="81"/>
      <c r="J172" s="82"/>
      <c r="K172" s="83"/>
      <c r="L172" s="84"/>
    </row>
    <row r="173" spans="1:12" s="1" customFormat="1" ht="23.25" hidden="1" customHeight="1" x14ac:dyDescent="0.2">
      <c r="A173" s="130" t="s">
        <v>26</v>
      </c>
      <c r="B173" s="128" t="s">
        <v>42</v>
      </c>
      <c r="C173" s="52" t="s">
        <v>93</v>
      </c>
      <c r="D173" s="119" t="s">
        <v>37</v>
      </c>
      <c r="E173" s="81"/>
      <c r="F173" s="82"/>
      <c r="G173" s="83"/>
      <c r="H173" s="84"/>
      <c r="I173" s="81"/>
      <c r="J173" s="82"/>
      <c r="K173" s="83"/>
      <c r="L173" s="84"/>
    </row>
    <row r="174" spans="1:12" s="4" customFormat="1" ht="25.5" customHeight="1" x14ac:dyDescent="0.2">
      <c r="A174" s="420" t="s">
        <v>24</v>
      </c>
      <c r="B174" s="422" t="s">
        <v>45</v>
      </c>
      <c r="C174" s="52" t="s">
        <v>93</v>
      </c>
      <c r="D174" s="119" t="s">
        <v>37</v>
      </c>
      <c r="E174" s="81">
        <f>SUM(F174,H174)</f>
        <v>462.25</v>
      </c>
      <c r="F174" s="82">
        <f>29.8+396.45+33</f>
        <v>459.25</v>
      </c>
      <c r="G174" s="83">
        <f>29.38+346</f>
        <v>375.38</v>
      </c>
      <c r="H174" s="84">
        <v>3</v>
      </c>
      <c r="I174" s="81">
        <f>SUM(J174,L174)</f>
        <v>0</v>
      </c>
      <c r="J174" s="82"/>
      <c r="K174" s="83"/>
      <c r="L174" s="84"/>
    </row>
    <row r="175" spans="1:12" s="4" customFormat="1" ht="27" customHeight="1" x14ac:dyDescent="0.2">
      <c r="A175" s="421"/>
      <c r="B175" s="423"/>
      <c r="C175" s="52" t="s">
        <v>96</v>
      </c>
      <c r="D175" s="131" t="s">
        <v>52</v>
      </c>
      <c r="E175" s="81">
        <f>SUM(F175,H175)</f>
        <v>10.561</v>
      </c>
      <c r="F175" s="82">
        <f>J175+10.5</f>
        <v>10.561</v>
      </c>
      <c r="G175" s="83">
        <v>1</v>
      </c>
      <c r="H175" s="84"/>
      <c r="I175" s="81">
        <f>SUM(J175,L175)</f>
        <v>6.0999999999999999E-2</v>
      </c>
      <c r="J175" s="82">
        <v>6.0999999999999999E-2</v>
      </c>
      <c r="K175" s="83"/>
      <c r="L175" s="84"/>
    </row>
    <row r="176" spans="1:12" s="4" customFormat="1" ht="21.75" customHeight="1" x14ac:dyDescent="0.2">
      <c r="A176" s="46" t="s">
        <v>33</v>
      </c>
      <c r="B176" s="134" t="s">
        <v>47</v>
      </c>
      <c r="C176" s="52" t="s">
        <v>146</v>
      </c>
      <c r="D176" s="131" t="s">
        <v>37</v>
      </c>
      <c r="E176" s="81">
        <f>SUM(F176,H176)</f>
        <v>0.56000000000000005</v>
      </c>
      <c r="F176" s="82">
        <v>0.56000000000000005</v>
      </c>
      <c r="G176" s="83"/>
      <c r="H176" s="84"/>
      <c r="I176" s="81">
        <f>SUM(J176,L176)</f>
        <v>0</v>
      </c>
      <c r="J176" s="82"/>
      <c r="K176" s="83"/>
      <c r="L176" s="84"/>
    </row>
    <row r="177" spans="1:12" s="4" customFormat="1" ht="21.75" hidden="1" customHeight="1" x14ac:dyDescent="0.2">
      <c r="A177" s="62" t="s">
        <v>7</v>
      </c>
      <c r="B177" s="59" t="s">
        <v>49</v>
      </c>
      <c r="C177" s="52" t="s">
        <v>156</v>
      </c>
      <c r="D177" s="121" t="s">
        <v>37</v>
      </c>
      <c r="E177" s="81">
        <f>SUM(F177,H177)</f>
        <v>0</v>
      </c>
      <c r="F177" s="82">
        <f>J177</f>
        <v>0</v>
      </c>
      <c r="G177" s="83"/>
      <c r="H177" s="84"/>
      <c r="I177" s="81">
        <f>SUM(J177,L177)</f>
        <v>0</v>
      </c>
      <c r="J177" s="82"/>
      <c r="K177" s="83"/>
      <c r="L177" s="84"/>
    </row>
    <row r="178" spans="1:12" s="1" customFormat="1" ht="26.45" customHeight="1" x14ac:dyDescent="0.2">
      <c r="A178" s="50"/>
      <c r="B178" s="37" t="s">
        <v>3</v>
      </c>
      <c r="C178" s="51" t="s">
        <v>113</v>
      </c>
      <c r="D178" s="120"/>
      <c r="E178" s="95">
        <f>SUM(F178,H178)</f>
        <v>8</v>
      </c>
      <c r="F178" s="96">
        <f>F180</f>
        <v>8</v>
      </c>
      <c r="G178" s="97">
        <f>SUM(G180)</f>
        <v>0</v>
      </c>
      <c r="H178" s="98">
        <f>H180</f>
        <v>0</v>
      </c>
      <c r="I178" s="95">
        <f>SUM(J178,L178)</f>
        <v>0</v>
      </c>
      <c r="J178" s="96">
        <f>SUM(J180)</f>
        <v>0</v>
      </c>
      <c r="K178" s="97">
        <f>SUM(K180)</f>
        <v>0</v>
      </c>
      <c r="L178" s="98">
        <f>L180</f>
        <v>0</v>
      </c>
    </row>
    <row r="179" spans="1:12" s="1" customFormat="1" ht="18" customHeight="1" x14ac:dyDescent="0.2">
      <c r="A179" s="39"/>
      <c r="B179" s="15" t="s">
        <v>2</v>
      </c>
      <c r="C179" s="38"/>
      <c r="D179" s="131"/>
      <c r="E179" s="81"/>
      <c r="F179" s="82"/>
      <c r="G179" s="83"/>
      <c r="H179" s="84"/>
      <c r="I179" s="81"/>
      <c r="J179" s="82"/>
      <c r="K179" s="83"/>
      <c r="L179" s="84"/>
    </row>
    <row r="180" spans="1:12" s="1" customFormat="1" ht="23.25" customHeight="1" thickBot="1" x14ac:dyDescent="0.25">
      <c r="A180" s="64" t="s">
        <v>23</v>
      </c>
      <c r="B180" s="65" t="s">
        <v>35</v>
      </c>
      <c r="C180" s="66" t="s">
        <v>94</v>
      </c>
      <c r="D180" s="132" t="s">
        <v>37</v>
      </c>
      <c r="E180" s="85">
        <f>SUM(F180,H180)</f>
        <v>8</v>
      </c>
      <c r="F180" s="86">
        <v>8</v>
      </c>
      <c r="G180" s="87"/>
      <c r="H180" s="88"/>
      <c r="I180" s="85">
        <f>SUM(J180,L180)</f>
        <v>0</v>
      </c>
      <c r="J180" s="86"/>
      <c r="K180" s="87"/>
      <c r="L180" s="88"/>
    </row>
    <row r="181" spans="1:12" s="5" customFormat="1" ht="25.9" customHeight="1" thickBot="1" x14ac:dyDescent="0.25">
      <c r="A181" s="26"/>
      <c r="B181" s="27" t="s">
        <v>171</v>
      </c>
      <c r="C181" s="139" t="s">
        <v>114</v>
      </c>
      <c r="D181" s="75"/>
      <c r="E181" s="154">
        <f>SUM(F181,H181)</f>
        <v>23670.314000000002</v>
      </c>
      <c r="F181" s="155">
        <f>SUM(F178,F171,F163,F157,F152,F141,F128,F122,F112,F106,F99,F92,F86,F79,F72,F66,F59,F53,F46,F40,F18,F15)</f>
        <v>17589.234</v>
      </c>
      <c r="G181" s="156">
        <f>SUM(G178,G171,G163,G157,G152,G141,G128,G122,G112,G106,G99,G92,G86,G79,G72,G66,G59,G53,G46,G40,G18,G15)</f>
        <v>9644.116</v>
      </c>
      <c r="H181" s="157">
        <f>SUM(H178,H171,H163,H157,H152,H141,H128,H122,H112,H106,H99,H92,H86,H79,H72,H66,H59,H53,H46,H40,H18,H15)</f>
        <v>6081.0800000000008</v>
      </c>
      <c r="I181" s="154">
        <f>SUM(J181,L181)</f>
        <v>5339.0870000000004</v>
      </c>
      <c r="J181" s="155">
        <f>SUM(J178,J171,J163,J157,J152,J141,J128,J122,J112,J106,J99,J92,J86,J79,J72,J66,J59,J53,J46,J40,J18,J15)</f>
        <v>1486.7650000000001</v>
      </c>
      <c r="K181" s="156">
        <f>SUM(K178,K171,K163,K157,K152,K141,K128,K122,K112,K106,K99,K92,K86,K79,K72,K66,K59,K53,K46,K40,K18,K15)</f>
        <v>217.91499999999999</v>
      </c>
      <c r="L181" s="157">
        <f>SUM(L178,L171,L163,L157,L152,L141,L128,L122,L112,L106,L99,L92,L86,L79,L72,L66,L59,L53,L46,L40,L18,L15)</f>
        <v>3852.3220000000001</v>
      </c>
    </row>
    <row r="182" spans="1:12" s="5" customFormat="1" ht="16.5" customHeight="1" x14ac:dyDescent="0.2">
      <c r="A182" s="77"/>
      <c r="B182" s="78" t="s">
        <v>2</v>
      </c>
      <c r="C182" s="79"/>
      <c r="D182" s="123"/>
      <c r="E182" s="158"/>
      <c r="F182" s="159"/>
      <c r="G182" s="160"/>
      <c r="H182" s="161"/>
      <c r="I182" s="158"/>
      <c r="J182" s="159"/>
      <c r="K182" s="160"/>
      <c r="L182" s="161"/>
    </row>
    <row r="183" spans="1:12" s="5" customFormat="1" ht="17.25" hidden="1" customHeight="1" x14ac:dyDescent="0.2">
      <c r="A183" s="25"/>
      <c r="B183" s="67" t="s">
        <v>175</v>
      </c>
      <c r="C183" s="68"/>
      <c r="D183" s="124"/>
      <c r="E183" s="141">
        <v>0</v>
      </c>
      <c r="F183" s="142"/>
      <c r="G183" s="143"/>
      <c r="H183" s="144"/>
      <c r="I183" s="141">
        <f>J183+L183</f>
        <v>0</v>
      </c>
      <c r="J183" s="142"/>
      <c r="K183" s="143"/>
      <c r="L183" s="144"/>
    </row>
    <row r="184" spans="1:12" s="5" customFormat="1" ht="17.25" customHeight="1" x14ac:dyDescent="0.2">
      <c r="A184" s="30"/>
      <c r="B184" s="69" t="s">
        <v>189</v>
      </c>
      <c r="C184" s="70"/>
      <c r="D184" s="125"/>
      <c r="E184" s="150">
        <f>F184+H184</f>
        <v>407.93400000000003</v>
      </c>
      <c r="F184" s="142">
        <f>J184</f>
        <v>0</v>
      </c>
      <c r="G184" s="143"/>
      <c r="H184" s="153">
        <f>L184+61</f>
        <v>407.93400000000003</v>
      </c>
      <c r="I184" s="150">
        <f>J184+L184</f>
        <v>346.93400000000003</v>
      </c>
      <c r="J184" s="142"/>
      <c r="K184" s="143"/>
      <c r="L184" s="144">
        <v>346.93400000000003</v>
      </c>
    </row>
    <row r="185" spans="1:12" s="5" customFormat="1" ht="17.25" customHeight="1" thickBot="1" x14ac:dyDescent="0.25">
      <c r="A185" s="30"/>
      <c r="B185" s="69" t="s">
        <v>188</v>
      </c>
      <c r="C185" s="70"/>
      <c r="D185" s="125"/>
      <c r="E185" s="150">
        <f>F185+H185</f>
        <v>6.1050000000000004</v>
      </c>
      <c r="F185" s="151">
        <f>J185</f>
        <v>6.1050000000000004</v>
      </c>
      <c r="G185" s="152"/>
      <c r="H185" s="153"/>
      <c r="I185" s="150">
        <f>J185+L185</f>
        <v>6.1050000000000004</v>
      </c>
      <c r="J185" s="151">
        <v>6.1050000000000004</v>
      </c>
      <c r="K185" s="152"/>
      <c r="L185" s="153"/>
    </row>
    <row r="186" spans="1:12" s="5" customFormat="1" ht="21" hidden="1" customHeight="1" thickBot="1" x14ac:dyDescent="0.25">
      <c r="A186" s="30"/>
      <c r="B186" s="69"/>
      <c r="C186" s="70"/>
      <c r="D186" s="125"/>
      <c r="E186" s="150"/>
      <c r="F186" s="151"/>
      <c r="G186" s="152"/>
      <c r="H186" s="153"/>
      <c r="I186" s="150"/>
      <c r="J186" s="151"/>
      <c r="K186" s="152"/>
      <c r="L186" s="153"/>
    </row>
    <row r="187" spans="1:12" s="5" customFormat="1" ht="25.9" customHeight="1" thickBot="1" x14ac:dyDescent="0.25">
      <c r="A187" s="80"/>
      <c r="B187" s="172" t="s">
        <v>172</v>
      </c>
      <c r="C187" s="75" t="s">
        <v>173</v>
      </c>
      <c r="D187" s="75"/>
      <c r="E187" s="103">
        <f>SUM(F187,H187)</f>
        <v>316.52699999999999</v>
      </c>
      <c r="F187" s="104"/>
      <c r="G187" s="105"/>
      <c r="H187" s="106">
        <v>316.52699999999999</v>
      </c>
      <c r="I187" s="154"/>
      <c r="J187" s="155"/>
      <c r="K187" s="156"/>
      <c r="L187" s="157"/>
    </row>
    <row r="188" spans="1:12" s="5" customFormat="1" ht="25.9" customHeight="1" thickBot="1" x14ac:dyDescent="0.25">
      <c r="A188" s="24"/>
      <c r="B188" s="179" t="s">
        <v>174</v>
      </c>
      <c r="C188" s="424"/>
      <c r="D188" s="425"/>
      <c r="E188" s="107">
        <f t="shared" ref="E188:L188" si="24">E181-E187</f>
        <v>23353.787000000004</v>
      </c>
      <c r="F188" s="108">
        <f t="shared" si="24"/>
        <v>17589.234</v>
      </c>
      <c r="G188" s="109">
        <f t="shared" si="24"/>
        <v>9644.116</v>
      </c>
      <c r="H188" s="110">
        <f t="shared" si="24"/>
        <v>5764.5530000000008</v>
      </c>
      <c r="I188" s="107">
        <f t="shared" si="24"/>
        <v>5339.0870000000004</v>
      </c>
      <c r="J188" s="108">
        <f t="shared" si="24"/>
        <v>1486.7650000000001</v>
      </c>
      <c r="K188" s="109">
        <f t="shared" si="24"/>
        <v>217.91499999999999</v>
      </c>
      <c r="L188" s="110">
        <f t="shared" si="24"/>
        <v>3852.3220000000001</v>
      </c>
    </row>
    <row r="189" spans="1:12" s="1" customFormat="1" ht="15" customHeight="1" x14ac:dyDescent="0.2">
      <c r="A189" s="22"/>
      <c r="B189" s="19" t="s">
        <v>2</v>
      </c>
      <c r="C189" s="426"/>
      <c r="D189" s="427"/>
      <c r="E189" s="163"/>
      <c r="F189" s="164"/>
      <c r="G189" s="165"/>
      <c r="H189" s="166"/>
      <c r="I189" s="163"/>
      <c r="J189" s="164"/>
      <c r="K189" s="165"/>
      <c r="L189" s="166"/>
    </row>
    <row r="190" spans="1:12" s="1" customFormat="1" ht="26.45" customHeight="1" x14ac:dyDescent="0.2">
      <c r="A190" s="20"/>
      <c r="B190" s="23" t="s">
        <v>118</v>
      </c>
      <c r="C190" s="418" t="s">
        <v>37</v>
      </c>
      <c r="D190" s="419"/>
      <c r="E190" s="141">
        <f>SUM(H190,F190)</f>
        <v>21656.472999999998</v>
      </c>
      <c r="F190" s="142">
        <f>SUM(F162,F180,F174,F166,F159,F154,F144,F140,F136,F135,F134,F132,F130,F131,F125,F120,F114,F108,F101,F94,F88,F81,F74,F68,F62,F55,F48,F42,F33,F32,F31,F30,F29,F28,F27,F26,F25,F23,F17,F177,F176,F170,F169,F168,F161,F150,F149,F138,F137,F124,F119,F118,F110,F103,F96,F90,F83,F76,F70,F64,F57:F58,F50,F45,F44,F84,F77,F111,F104,F173,F165,F143,F97,F91,F65,F51,F117,F71,F148,F116,F147,F146)</f>
        <v>16246.621999999998</v>
      </c>
      <c r="G190" s="143">
        <f t="shared" ref="G190" si="25">SUM(G162,G180,G174,G166,G159,G154,G144,G140,G136,G135,G134,G132,G130,G131,G125,G120,G114,G108,G101,G94,G88,G81,G74,G68,G62,G55,G48,G42,G33,G32,G31,G30,G29,G28,G27,G26,G25,G23,G17,G177,G176,G170,G169,G168,G161,G150,G149,G138,G137,G124,G119,G118,G110,G103,G96,G90,G83,G76,G70,G64,G57:G58,G50,G45,G44,G84,G77,G111,G104,G173,G165,G143,G97,G91,G65,G51,G117,G71,G147)</f>
        <v>9340.9290000000001</v>
      </c>
      <c r="H190" s="144">
        <f>SUM(H162,H180,H174,H166,H159,H154,H144,H140,H136,H135,H134,H132,H130,H131,H125,H120,H114,H108,H101,H94,H88,H81,H74,H68,H62,H55,H48,H42,H33,H32,H31,H30,H29,H28,H27,H26,H25,H23,H17,H177,H176,H170,H169,H168,H161,H150,H149,H138,H137,H124,H119,H118,H110,H103,H96,H90,H83,H76,H70,H64,H57:H58,H50,H45,H44,H84,H77,H111,H104,H173,H165,H143,H97,H91,H65,H51,H117,H71,H147,H156)-H187</f>
        <v>5409.8510000000006</v>
      </c>
      <c r="I190" s="141">
        <f>SUM(L190,J190)</f>
        <v>5210.3</v>
      </c>
      <c r="J190" s="142">
        <f>SUM(J162,J180,J174,J166,J159,J154,J144,J140,J136,J135,J134,J132,J130,J131,J125,J120,J114,J108,J101,J94,J88,J81,J74,J68,J62,J55,J48,J42,J33,J32,J31,J30,J29,J28,J27,J26,J25,J23,J17,J177,J176,J170,J169,J168,J161,J150,J149,J138,J137,J124,J119,J118,J110,J103,J96,J90,J83,J76,J70,J64,J57:J58,J50,J45,J44,J84,J77,J111,J104,J173,J165,J143,J97,J91,J65,J51,J117,J71,J148,J116,J147)</f>
        <v>1369.9579999999999</v>
      </c>
      <c r="K190" s="143">
        <f t="shared" ref="K190" si="26">SUM(K162,K180,K174,K166,K159,K154,K144,K140,K136,K135,K134,K132,K130,K131,K125,K120,K114,K108,K101,K94,K88,K81,K74,K68,K62,K55,K48,K42,K33,K32,K31,K30,K29,K28,K27,K26,K25,K23,K17,K177,K176,K170,K169,K168,K161,K150,K149,K138,K137,K124,K119,K118,K110,K103,K96,K90,K83,K76,K70,K64,K57:K58,K50,K45,K44,K84,K77,K111,K104,K173,K165,K143,K97,K91,K65,K51,K117,K71,K147)</f>
        <v>200.00800000000001</v>
      </c>
      <c r="L190" s="144">
        <f>SUM(L162,L180,L174,L166,L159,L154,L144,L140,L136,L135,L134,L132,L130,L131,L125,L120,L114,L108,L101,L94,L88,L81,L74,L68,L62,L55,L48,L42,L33,L32,L31,L30,L29,L28,L27,L26,L25,L23,L17,L177,L176,L170,L169,L168,L161,L150,L149,L138,L137,L124,L119,L118,L110,L103,L96,L90,L83,L76,L70,L64,L57:L58,L50,L45,L44,L84,L77,L111,L104,L173,L165,L143,L97,L91,L65,L51,L117,L71,L147,L156)-L187</f>
        <v>3840.3420000000001</v>
      </c>
    </row>
    <row r="191" spans="1:12" s="1" customFormat="1" ht="20.25" customHeight="1" x14ac:dyDescent="0.2">
      <c r="A191" s="21"/>
      <c r="B191" s="23" t="s">
        <v>119</v>
      </c>
      <c r="C191" s="418" t="s">
        <v>52</v>
      </c>
      <c r="D191" s="419"/>
      <c r="E191" s="141">
        <f>SUM(H191,F191)</f>
        <v>1380.787</v>
      </c>
      <c r="F191" s="142">
        <f>SUM(F175,F167,F160,F155,F145,F133,F126,F115,F109,F102,F95,F89,F82,F75,F69,F63,F61,F56,F49,F43,F24,F139,F78,F85,F105,F98,F34,F151,F121,F52)</f>
        <v>1342.0070000000001</v>
      </c>
      <c r="G191" s="143">
        <f t="shared" ref="G191:H191" si="27">SUM(G175,G167,G160,G155,G145,G133,G126,G115,G109,G102,G95,G89,G82,G75,G69,G63,G61,G56,G49,G43,G24,G139,G78,G85,G105,G98,G34,G151,G121,G52)</f>
        <v>303.18700000000001</v>
      </c>
      <c r="H191" s="144">
        <f t="shared" si="27"/>
        <v>38.779999999999994</v>
      </c>
      <c r="I191" s="141">
        <f>SUM(L191,J191)</f>
        <v>128.78699999999998</v>
      </c>
      <c r="J191" s="142">
        <f>SUM(J175,J167,J160,J155,J145,J133,J126,J115,J109,J102,J95,J89,J82,J75,J69,J63,J61,J56,J49,J43,J24,J139,J78,J34)</f>
        <v>116.80699999999999</v>
      </c>
      <c r="K191" s="143">
        <f>SUM(K175,K167,K160,K155,K145,K133,K126,K115,K109,K102,K95,K89,K82,K75,K69,K63,K61,K56,K49,K43,K24,K139)</f>
        <v>17.907</v>
      </c>
      <c r="L191" s="144">
        <f>SUM(L175,L167,L160,L155,L145,L133,L126,L115,L109,L102,L95,L89,L82,L75,L69,L63,L61,L56,L49,L43,L24,L139,L78,L98)</f>
        <v>11.98</v>
      </c>
    </row>
    <row r="192" spans="1:12" s="1" customFormat="1" ht="23.25" customHeight="1" thickBot="1" x14ac:dyDescent="0.25">
      <c r="A192" s="18"/>
      <c r="B192" s="115" t="s">
        <v>120</v>
      </c>
      <c r="C192" s="416" t="s">
        <v>116</v>
      </c>
      <c r="D192" s="417"/>
      <c r="E192" s="167">
        <f t="shared" ref="E192" si="28">SUM(H192,F192)</f>
        <v>316.52700000000004</v>
      </c>
      <c r="F192" s="168">
        <f>SUM(F35)</f>
        <v>0.60499999999999998</v>
      </c>
      <c r="G192" s="169">
        <f>SUM(G35)</f>
        <v>0</v>
      </c>
      <c r="H192" s="170">
        <f>SUM(H35)</f>
        <v>315.92200000000003</v>
      </c>
      <c r="I192" s="167">
        <f t="shared" ref="I192" si="29">SUM(L192,J192)</f>
        <v>0</v>
      </c>
      <c r="J192" s="168">
        <f>SUM(J35)</f>
        <v>0</v>
      </c>
      <c r="K192" s="169">
        <f>SUM(K35)</f>
        <v>0</v>
      </c>
      <c r="L192" s="170">
        <f>SUM(L35)</f>
        <v>0</v>
      </c>
    </row>
    <row r="193" spans="1:12" s="1" customFormat="1" ht="18" customHeight="1" x14ac:dyDescent="0.2">
      <c r="A193" s="22"/>
      <c r="B193" s="19" t="s">
        <v>2</v>
      </c>
      <c r="C193" s="17"/>
      <c r="D193" s="126"/>
      <c r="E193" s="163"/>
      <c r="F193" s="164"/>
      <c r="G193" s="165"/>
      <c r="H193" s="166"/>
      <c r="I193" s="163"/>
      <c r="J193" s="164"/>
      <c r="K193" s="165"/>
      <c r="L193" s="166"/>
    </row>
    <row r="194" spans="1:12" s="1" customFormat="1" ht="24.75" customHeight="1" x14ac:dyDescent="0.2">
      <c r="A194" s="41"/>
      <c r="B194" s="71" t="s">
        <v>35</v>
      </c>
      <c r="C194" s="418">
        <v>1</v>
      </c>
      <c r="D194" s="419"/>
      <c r="E194" s="141">
        <f>SUM(H194,F194)</f>
        <v>3003.0840000000003</v>
      </c>
      <c r="F194" s="142">
        <f>SUM(F180,F61,F17,F23:F24,F130,F124)</f>
        <v>2692.7340000000004</v>
      </c>
      <c r="G194" s="143">
        <f>SUM(G180,G61,G17,G23:G24,G130,G124)</f>
        <v>1823.4469999999999</v>
      </c>
      <c r="H194" s="144">
        <f>SUM(H180,H61,H17,H23:H24,H130,H124)-H187</f>
        <v>310.34999999999997</v>
      </c>
      <c r="I194" s="141">
        <f>SUM(L194,J194)</f>
        <v>109.761</v>
      </c>
      <c r="J194" s="142">
        <f>SUM(J180,J61,J17,J23:J24,J130,J124)</f>
        <v>109.761</v>
      </c>
      <c r="K194" s="143">
        <f>SUM(K180,K61,K17,K23:K24,K130,K124)</f>
        <v>27.126999999999999</v>
      </c>
      <c r="L194" s="144">
        <f>SUM(L180,L61,L17,L23:L24,L130,L124)-L187</f>
        <v>0</v>
      </c>
    </row>
    <row r="195" spans="1:12" s="1" customFormat="1" ht="24.75" customHeight="1" x14ac:dyDescent="0.2">
      <c r="A195" s="21"/>
      <c r="B195" s="72" t="s">
        <v>42</v>
      </c>
      <c r="C195" s="418">
        <v>2</v>
      </c>
      <c r="D195" s="419"/>
      <c r="E195" s="141">
        <f>SUM(H195,F195)</f>
        <v>6003.2669999999998</v>
      </c>
      <c r="F195" s="142">
        <f>SUM(F131,F125:F126,F114:F115,F108:F109,F101:F102,F94:F95,F88:F89,F81:F82,F74:F75,F68:F69,F62:F63,F55:F56,F48:F49,F42:F43,F25,F173,F165,F143)</f>
        <v>5803.4169999999995</v>
      </c>
      <c r="G195" s="143">
        <f>SUM(G131,G125:G126,G114:G115,G108:G109,G101:G102,G94:G95,G88:G89,G81:G82,G74:G75,G68:G69,G62:G63,G55:G56,G48:G49,G42:G43,G25,G173,G165,G143)</f>
        <v>4334.9740000000002</v>
      </c>
      <c r="H195" s="144">
        <f>SUM(H131,H125:H126,H114:H115,H108:H109,H101:H102,H94:H95,H88:H89,H81:H82,H74:H75,H68:H69,H62:H63,H55:H56,H48:H49,H42:H43,H25)</f>
        <v>199.85000000000002</v>
      </c>
      <c r="I195" s="141">
        <f>SUM(L195,J195)</f>
        <v>271.86700000000002</v>
      </c>
      <c r="J195" s="142">
        <f>SUM(J131,J125:J126,J114:J115,J108:J109,J101:J102,J94:J95,J88:J89,J81:J82,J74:J75,J68:J69,J62:J63,J55:J56,J48:J49,J42:J43,J25,J173,J165,J143)</f>
        <v>216.36700000000002</v>
      </c>
      <c r="K195" s="143">
        <f>SUM(K131,K125:K126,K114:K115,K108:K109,K101:K102,K94:K95,K88:K89,K81:K82,K74:K75,K68:K69,K62:K63,K55:K56,K48:K49,K42:K43,K25,K173,K165,K143)</f>
        <v>145.98499999999999</v>
      </c>
      <c r="L195" s="144">
        <f>SUM(L131,L125:L126,L114:L115,L108:L109,L101:L102,L94:L95,L88:L89,L81:L82,L74:L75,L68:L69,L62:L63,L55:L56,L48:L49,L42:L43,L25)</f>
        <v>55.5</v>
      </c>
    </row>
    <row r="196" spans="1:12" s="1" customFormat="1" ht="21.75" customHeight="1" x14ac:dyDescent="0.2">
      <c r="A196" s="21"/>
      <c r="B196" s="72" t="s">
        <v>117</v>
      </c>
      <c r="C196" s="418">
        <v>3</v>
      </c>
      <c r="D196" s="419"/>
      <c r="E196" s="141">
        <f>SUM(H196,F196)</f>
        <v>1158.626</v>
      </c>
      <c r="F196" s="142">
        <f>SUM(F26,F132,F133,F144,F145)</f>
        <v>1030.1859999999999</v>
      </c>
      <c r="G196" s="143">
        <f>SUM(G26,G132,G133,G144,G145)</f>
        <v>746.30899999999997</v>
      </c>
      <c r="H196" s="144">
        <f>SUM(H26,H132,H133,H144,H145)</f>
        <v>128.44</v>
      </c>
      <c r="I196" s="141">
        <f>SUM(L196,J196)</f>
        <v>202.26500000000001</v>
      </c>
      <c r="J196" s="142">
        <f>SUM(J26,J132,J133,J144,J145)</f>
        <v>84.025000000000006</v>
      </c>
      <c r="K196" s="143">
        <f>SUM(K26,K132,K133,K144,K145)</f>
        <v>24.908999999999999</v>
      </c>
      <c r="L196" s="144">
        <f>SUM(L26,L132,L133,L144,L145)</f>
        <v>118.24000000000001</v>
      </c>
    </row>
    <row r="197" spans="1:12" s="1" customFormat="1" ht="27.75" customHeight="1" x14ac:dyDescent="0.2">
      <c r="A197" s="21"/>
      <c r="B197" s="73" t="s">
        <v>44</v>
      </c>
      <c r="C197" s="418">
        <v>4</v>
      </c>
      <c r="D197" s="419"/>
      <c r="E197" s="141">
        <f t="shared" ref="E197:E202" si="30">SUM(H197,F197)</f>
        <v>1199.8210000000001</v>
      </c>
      <c r="F197" s="142">
        <f>SUM(F134,F159,F160,F154,F155,F27,F146)</f>
        <v>1195.8210000000001</v>
      </c>
      <c r="G197" s="143">
        <f>SUM(G134,G159,G160,G154,G155,G27)</f>
        <v>913.56</v>
      </c>
      <c r="H197" s="144">
        <f>SUM(H134,H159,H160,H154,H155,H27)</f>
        <v>4</v>
      </c>
      <c r="I197" s="141">
        <f t="shared" ref="I197:I198" si="31">SUM(L197,J197)</f>
        <v>23.500999999999998</v>
      </c>
      <c r="J197" s="142">
        <f>SUM(J134,J159,J160,J154,J155,J27)</f>
        <v>23.500999999999998</v>
      </c>
      <c r="K197" s="143">
        <f>SUM(K134,K159,K160,K154,K155,K27)</f>
        <v>0</v>
      </c>
      <c r="L197" s="144">
        <f>SUM(L134,L159,L160,L154,L155,L27)</f>
        <v>0</v>
      </c>
    </row>
    <row r="198" spans="1:12" s="1" customFormat="1" ht="23.25" customHeight="1" x14ac:dyDescent="0.2">
      <c r="A198" s="21"/>
      <c r="B198" s="72" t="s">
        <v>115</v>
      </c>
      <c r="C198" s="418">
        <v>5</v>
      </c>
      <c r="D198" s="419"/>
      <c r="E198" s="141">
        <f t="shared" si="30"/>
        <v>200.18900000000002</v>
      </c>
      <c r="F198" s="142">
        <f>SUM(F28,F135,F147,F116)</f>
        <v>128.38900000000001</v>
      </c>
      <c r="G198" s="143">
        <f>SUM(G28,G135)</f>
        <v>0</v>
      </c>
      <c r="H198" s="144">
        <f>SUM(H28,H135)</f>
        <v>71.8</v>
      </c>
      <c r="I198" s="141">
        <f t="shared" si="31"/>
        <v>18.289000000000001</v>
      </c>
      <c r="J198" s="142">
        <f>SUM(J28,J135,J147,J116)</f>
        <v>18.289000000000001</v>
      </c>
      <c r="K198" s="143">
        <f>SUM(K28,K135)</f>
        <v>0</v>
      </c>
      <c r="L198" s="144">
        <f>SUM(L28,L135)</f>
        <v>0</v>
      </c>
    </row>
    <row r="199" spans="1:12" s="1" customFormat="1" ht="21.75" customHeight="1" x14ac:dyDescent="0.2">
      <c r="A199" s="21"/>
      <c r="B199" s="72" t="s">
        <v>45</v>
      </c>
      <c r="C199" s="418">
        <v>6</v>
      </c>
      <c r="D199" s="419"/>
      <c r="E199" s="141">
        <f>SUM(H199,F199)</f>
        <v>3281.9059999999999</v>
      </c>
      <c r="F199" s="142">
        <f>SUM(F175,F174,F167,F166,F136,F29,F117,F148)</f>
        <v>2290.4719999999998</v>
      </c>
      <c r="G199" s="143">
        <f>SUM(G175,G174,G167,G166,G136,G29,G117,G147)</f>
        <v>733.78</v>
      </c>
      <c r="H199" s="144">
        <f>SUM(H175,H174,H167,H166,H136,H29,H117,H147)</f>
        <v>991.43400000000008</v>
      </c>
      <c r="I199" s="141">
        <f>SUM(L199,J199)</f>
        <v>654.59700000000009</v>
      </c>
      <c r="J199" s="142">
        <f>SUM(J175,J174,J167,J166,J136,J29,J117,J148)</f>
        <v>54.542000000000002</v>
      </c>
      <c r="K199" s="143">
        <f>SUM(K175,K174,K167,K166,K136,K29,K117,K147)</f>
        <v>0</v>
      </c>
      <c r="L199" s="144">
        <f>SUM(L175,L174,L167,L166,L136,L29,L117,L147)</f>
        <v>600.05500000000006</v>
      </c>
    </row>
    <row r="200" spans="1:12" s="1" customFormat="1" ht="22.5" customHeight="1" x14ac:dyDescent="0.2">
      <c r="A200" s="21"/>
      <c r="B200" s="72" t="s">
        <v>46</v>
      </c>
      <c r="C200" s="418">
        <v>7</v>
      </c>
      <c r="D200" s="419"/>
      <c r="E200" s="141">
        <f t="shared" si="30"/>
        <v>30.217000000000002</v>
      </c>
      <c r="F200" s="142">
        <f>SUM(F30,F168)</f>
        <v>2.44</v>
      </c>
      <c r="G200" s="143">
        <f>SUM(G30,G168)</f>
        <v>0.59199999999999997</v>
      </c>
      <c r="H200" s="144">
        <f>SUM(H30,H168)</f>
        <v>27.777000000000001</v>
      </c>
      <c r="I200" s="141">
        <f t="shared" ref="I200:I202" si="32">SUM(L200,J200)</f>
        <v>27.777000000000001</v>
      </c>
      <c r="J200" s="142">
        <f>SUM(J30,J168)</f>
        <v>0</v>
      </c>
      <c r="K200" s="143">
        <f>SUM(K30,K168)</f>
        <v>0</v>
      </c>
      <c r="L200" s="144">
        <f>SUM(L30,L168)</f>
        <v>27.777000000000001</v>
      </c>
    </row>
    <row r="201" spans="1:12" s="1" customFormat="1" ht="22.5" customHeight="1" x14ac:dyDescent="0.2">
      <c r="A201" s="21"/>
      <c r="B201" s="72" t="s">
        <v>47</v>
      </c>
      <c r="C201" s="418">
        <v>8</v>
      </c>
      <c r="D201" s="419"/>
      <c r="E201" s="141">
        <f t="shared" si="30"/>
        <v>2678.5259999999994</v>
      </c>
      <c r="F201" s="142">
        <f>SUM(F31,F44,F50,F57,F64,F70,F76,F83,F90,F96,F103,F110,F118,F137,F149,F161,F169,F176)</f>
        <v>2570.9379999999992</v>
      </c>
      <c r="G201" s="143">
        <f>SUM(G31,G44,G50,G57,G64,G70,G76,G83,G90,G96,G103,G110,G118,G137,G149,G161,G169,G176)</f>
        <v>930.39700000000005</v>
      </c>
      <c r="H201" s="144">
        <f>SUM(H31,H44,H50,H57,H64,H70,H76,H83,H90,H96,H103,H110,H118,H137,H149,H161,H169,H176)</f>
        <v>107.58799999999999</v>
      </c>
      <c r="I201" s="141">
        <f t="shared" si="32"/>
        <v>99.115999999999985</v>
      </c>
      <c r="J201" s="142">
        <f>SUM(J31,J44,J50,J57,J64,J70,J76,J83,J90,J96,J103,J110,J118,J137,J149,J161,J169,J176)</f>
        <v>8.5279999999999987</v>
      </c>
      <c r="K201" s="143">
        <f>SUM(K31,K44,K50,K57,K64,K70,K76,K83,K90,K96,K103,K110,K118,K137,K149,K161,K169,K176)</f>
        <v>0.53700000000000003</v>
      </c>
      <c r="L201" s="144">
        <f>SUM(L31,L44,L50,L57,L64,L70,L76,L83,L90,L96,L103,L110,L118,L137,L149,L161,L169,L176)</f>
        <v>90.587999999999994</v>
      </c>
    </row>
    <row r="202" spans="1:12" s="1" customFormat="1" ht="23.25" customHeight="1" x14ac:dyDescent="0.2">
      <c r="A202" s="21"/>
      <c r="B202" s="72" t="s">
        <v>48</v>
      </c>
      <c r="C202" s="418">
        <v>9</v>
      </c>
      <c r="D202" s="419"/>
      <c r="E202" s="141">
        <f t="shared" si="30"/>
        <v>1663.624</v>
      </c>
      <c r="F202" s="142">
        <f>SUM(F32,F138,F139,F119)</f>
        <v>434.01</v>
      </c>
      <c r="G202" s="143">
        <f>SUM(G32,G138,G139,G119)</f>
        <v>125.50700000000001</v>
      </c>
      <c r="H202" s="144">
        <f>SUM(H32,H138,H139,H119)</f>
        <v>1229.614</v>
      </c>
      <c r="I202" s="141">
        <f t="shared" si="32"/>
        <v>1168.144</v>
      </c>
      <c r="J202" s="142">
        <f>SUM(J32,J138,J139,J119)</f>
        <v>78.53</v>
      </c>
      <c r="K202" s="143">
        <f>SUM(K32,K138,K139,K119)</f>
        <v>10.856999999999999</v>
      </c>
      <c r="L202" s="144">
        <f>SUM(L32,L138,L139,L119)</f>
        <v>1089.614</v>
      </c>
    </row>
    <row r="203" spans="1:12" s="1" customFormat="1" ht="26.25" customHeight="1" thickBot="1" x14ac:dyDescent="0.25">
      <c r="A203" s="18"/>
      <c r="B203" s="74" t="s">
        <v>49</v>
      </c>
      <c r="C203" s="416">
        <v>10</v>
      </c>
      <c r="D203" s="417"/>
      <c r="E203" s="167">
        <f>SUM(H203,F203)</f>
        <v>4134.527</v>
      </c>
      <c r="F203" s="168">
        <f>SUM(F162,F140,F33:F35,F177,F170,F150,F45,F104,F77,F120,F84,F111,F97,F91,F65,F51,F71,F58,F78,F98,F151,F121,F52)</f>
        <v>1440.8270000000002</v>
      </c>
      <c r="G203" s="169">
        <f>SUM(G162,G140,G33:G35,G177,G170,G150,G45,G104,G77,G120,G84,G111,G97,G91,G65)</f>
        <v>35.549999999999997</v>
      </c>
      <c r="H203" s="170">
        <f>SUM(H162,H140,H33:H35,H177,H170,H150,H45,H104,H77,H120,H84,H111,H97,H91,H65,H51,H71,H58,H78,H98,H85,H156,H105)</f>
        <v>2693.7000000000003</v>
      </c>
      <c r="I203" s="167">
        <f>SUM(L203,J203)</f>
        <v>2763.7699999999995</v>
      </c>
      <c r="J203" s="168">
        <f>SUM(J162,J140,J33:J35,J177,J170,J150,J45,J104,J77,J120,J84,J111,J97,J91,J65,J51,J71,J58,J78)</f>
        <v>893.22199999999998</v>
      </c>
      <c r="K203" s="169">
        <f>SUM(K162,K140,K33:K35,K177,K170,K150,K45,K104,K77,K120,K84,K111,K97,K91,K65)</f>
        <v>8.5</v>
      </c>
      <c r="L203" s="170">
        <f>SUM(L162,L140,L33:L35,L177,L170,L150,L45,L104,L77,L120,L84,L111,L97,L91,L65,L51,L71,L58,L78,L98,L156)</f>
        <v>1870.5479999999998</v>
      </c>
    </row>
    <row r="204" spans="1:12" s="1" customFormat="1" ht="26.25" customHeight="1" x14ac:dyDescent="0.2">
      <c r="A204" s="9"/>
      <c r="C204" s="13"/>
      <c r="D204" s="13"/>
      <c r="E204" s="8"/>
      <c r="F204" s="8"/>
      <c r="G204" s="8"/>
      <c r="H204" s="8"/>
      <c r="I204" s="8"/>
      <c r="J204" s="8"/>
      <c r="K204" s="8"/>
      <c r="L204" s="8"/>
    </row>
    <row r="205" spans="1:12" s="1" customFormat="1" ht="26.25" customHeight="1" x14ac:dyDescent="0.2">
      <c r="A205" s="9"/>
      <c r="C205" s="13"/>
      <c r="D205" s="13"/>
      <c r="E205" s="8"/>
      <c r="F205" s="29"/>
      <c r="G205" s="29"/>
      <c r="H205" s="29"/>
      <c r="I205" s="8"/>
      <c r="J205" s="8"/>
      <c r="K205" s="8"/>
      <c r="L205" s="14"/>
    </row>
  </sheetData>
  <sheetProtection algorithmName="SHA-512" hashValue="8nTr7Zi9IzXp+jVakYj6WsmFy59InLOcxfCJYJCAWxrT+gwilvHPG8JuGPDwODkOcZ8ic0cKJWSm26TYYgHUCA==" saltValue="dGuVwNKr6g8r9syU80V0gQ==" spinCount="100000" sheet="1" objects="1" scenarios="1"/>
  <mergeCells count="90">
    <mergeCell ref="A7:L7"/>
    <mergeCell ref="A10:A13"/>
    <mergeCell ref="B10:B13"/>
    <mergeCell ref="C10:C13"/>
    <mergeCell ref="D10:D13"/>
    <mergeCell ref="E10:E13"/>
    <mergeCell ref="F10:H10"/>
    <mergeCell ref="I10:I13"/>
    <mergeCell ref="J10:L10"/>
    <mergeCell ref="F11:G11"/>
    <mergeCell ref="H11:H13"/>
    <mergeCell ref="J11:K11"/>
    <mergeCell ref="L11:L13"/>
    <mergeCell ref="F12:F13"/>
    <mergeCell ref="G12:G13"/>
    <mergeCell ref="J12:J13"/>
    <mergeCell ref="K12:K13"/>
    <mergeCell ref="A23:A24"/>
    <mergeCell ref="B23:B24"/>
    <mergeCell ref="A33:A35"/>
    <mergeCell ref="B33:B35"/>
    <mergeCell ref="A42:A43"/>
    <mergeCell ref="B42:B43"/>
    <mergeCell ref="A48:A49"/>
    <mergeCell ref="B48:B49"/>
    <mergeCell ref="A55:A56"/>
    <mergeCell ref="B55:B56"/>
    <mergeCell ref="B51:B52"/>
    <mergeCell ref="A51:A52"/>
    <mergeCell ref="A62:A63"/>
    <mergeCell ref="B62:B63"/>
    <mergeCell ref="A68:A69"/>
    <mergeCell ref="B68:B69"/>
    <mergeCell ref="A74:A75"/>
    <mergeCell ref="B74:B75"/>
    <mergeCell ref="A77:A78"/>
    <mergeCell ref="B77:B78"/>
    <mergeCell ref="A81:A82"/>
    <mergeCell ref="B81:B82"/>
    <mergeCell ref="A84:A85"/>
    <mergeCell ref="B84:B85"/>
    <mergeCell ref="A88:A89"/>
    <mergeCell ref="B88:B89"/>
    <mergeCell ref="A94:A95"/>
    <mergeCell ref="B94:B95"/>
    <mergeCell ref="A97:A98"/>
    <mergeCell ref="B97:B98"/>
    <mergeCell ref="A101:A102"/>
    <mergeCell ref="B101:B102"/>
    <mergeCell ref="A104:A105"/>
    <mergeCell ref="B104:B105"/>
    <mergeCell ref="A108:A109"/>
    <mergeCell ref="B108:B109"/>
    <mergeCell ref="A114:A115"/>
    <mergeCell ref="B114:B115"/>
    <mergeCell ref="A125:A126"/>
    <mergeCell ref="B125:B126"/>
    <mergeCell ref="A132:A133"/>
    <mergeCell ref="B132:B133"/>
    <mergeCell ref="B120:B121"/>
    <mergeCell ref="A120:A121"/>
    <mergeCell ref="A138:A139"/>
    <mergeCell ref="B138:B139"/>
    <mergeCell ref="A144:A145"/>
    <mergeCell ref="B144:B145"/>
    <mergeCell ref="A154:A155"/>
    <mergeCell ref="B154:B155"/>
    <mergeCell ref="B150:B151"/>
    <mergeCell ref="A150:A151"/>
    <mergeCell ref="A159:A160"/>
    <mergeCell ref="B159:B160"/>
    <mergeCell ref="C196:D196"/>
    <mergeCell ref="A166:A167"/>
    <mergeCell ref="B166:B167"/>
    <mergeCell ref="A174:A175"/>
    <mergeCell ref="B174:B175"/>
    <mergeCell ref="C188:D188"/>
    <mergeCell ref="C189:D189"/>
    <mergeCell ref="C190:D190"/>
    <mergeCell ref="C191:D191"/>
    <mergeCell ref="C192:D192"/>
    <mergeCell ref="C194:D194"/>
    <mergeCell ref="C195:D195"/>
    <mergeCell ref="C203:D203"/>
    <mergeCell ref="C197:D197"/>
    <mergeCell ref="C198:D198"/>
    <mergeCell ref="C199:D199"/>
    <mergeCell ref="C200:D200"/>
    <mergeCell ref="C201:D201"/>
    <mergeCell ref="C202:D202"/>
  </mergeCells>
  <conditionalFormatting sqref="B37">
    <cfRule type="cellIs" dxfId="48" priority="26" operator="equal">
      <formula>0</formula>
    </cfRule>
  </conditionalFormatting>
  <conditionalFormatting sqref="B38:B39">
    <cfRule type="cellIs" dxfId="47" priority="25" operator="equal">
      <formula>0</formula>
    </cfRule>
  </conditionalFormatting>
  <conditionalFormatting sqref="E192:L196 I191:L191 E181:L184 E198:L202 E197 G197:L197 E186:L186 K185:L185 E189:L189 I187:L187">
    <cfRule type="cellIs" dxfId="46" priority="24" stopIfTrue="1" operator="equal">
      <formula>0</formula>
    </cfRule>
  </conditionalFormatting>
  <conditionalFormatting sqref="F197">
    <cfRule type="cellIs" dxfId="45" priority="17" stopIfTrue="1" operator="equal">
      <formula>0</formula>
    </cfRule>
  </conditionalFormatting>
  <conditionalFormatting sqref="E190:G190 I190:L190">
    <cfRule type="cellIs" dxfId="44" priority="16" stopIfTrue="1" operator="equal">
      <formula>0</formula>
    </cfRule>
  </conditionalFormatting>
  <conditionalFormatting sqref="H190">
    <cfRule type="cellIs" dxfId="43" priority="15" stopIfTrue="1" operator="equal">
      <formula>0</formula>
    </cfRule>
  </conditionalFormatting>
  <conditionalFormatting sqref="I203:L203">
    <cfRule type="cellIs" dxfId="42" priority="14" stopIfTrue="1" operator="equal">
      <formula>0</formula>
    </cfRule>
  </conditionalFormatting>
  <conditionalFormatting sqref="E191">
    <cfRule type="cellIs" dxfId="41" priority="13" stopIfTrue="1" operator="equal">
      <formula>0</formula>
    </cfRule>
  </conditionalFormatting>
  <conditionalFormatting sqref="E203:H203">
    <cfRule type="cellIs" dxfId="40" priority="11" stopIfTrue="1" operator="equal">
      <formula>0</formula>
    </cfRule>
  </conditionalFormatting>
  <conditionalFormatting sqref="E15:L180">
    <cfRule type="cellIs" dxfId="39" priority="8" stopIfTrue="1" operator="equal">
      <formula>0</formula>
    </cfRule>
  </conditionalFormatting>
  <conditionalFormatting sqref="F191:G191">
    <cfRule type="cellIs" dxfId="38" priority="7" stopIfTrue="1" operator="equal">
      <formula>0</formula>
    </cfRule>
  </conditionalFormatting>
  <conditionalFormatting sqref="H191">
    <cfRule type="cellIs" dxfId="37" priority="6" stopIfTrue="1" operator="equal">
      <formula>0</formula>
    </cfRule>
  </conditionalFormatting>
  <conditionalFormatting sqref="E185:J185">
    <cfRule type="cellIs" dxfId="36" priority="5" stopIfTrue="1" operator="equal">
      <formula>0</formula>
    </cfRule>
  </conditionalFormatting>
  <conditionalFormatting sqref="E187:H187">
    <cfRule type="cellIs" dxfId="35" priority="4" stopIfTrue="1" operator="equal">
      <formula>0</formula>
    </cfRule>
  </conditionalFormatting>
  <conditionalFormatting sqref="E188:H188">
    <cfRule type="cellIs" dxfId="34" priority="2" stopIfTrue="1" operator="equal">
      <formula>0</formula>
    </cfRule>
  </conditionalFormatting>
  <conditionalFormatting sqref="I188:L188">
    <cfRule type="cellIs" dxfId="33" priority="1" stopIfTrue="1" operator="equal">
      <formula>0</formula>
    </cfRule>
  </conditionalFormatting>
  <pageMargins left="0.39370078740157483" right="0.39370078740157483" top="0.78740157480314965" bottom="0.39370078740157483" header="0.31496062992125984" footer="0.31496062992125984"/>
  <pageSetup paperSize="9" scale="65" fitToWidth="0" fitToHeight="0" orientation="portrait" r:id="rId1"/>
  <ignoredErrors>
    <ignoredError sqref="J190:J19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workbookViewId="0">
      <selection activeCell="I16" sqref="I16"/>
    </sheetView>
  </sheetViews>
  <sheetFormatPr defaultColWidth="9.28515625" defaultRowHeight="12" x14ac:dyDescent="0.2"/>
  <cols>
    <col min="1" max="1" width="5.85546875" style="181" customWidth="1"/>
    <col min="2" max="2" width="60.7109375" style="1" customWidth="1"/>
    <col min="3" max="3" width="8.28515625" style="13" customWidth="1"/>
    <col min="4" max="7" width="10.5703125" style="8" customWidth="1"/>
    <col min="8" max="256" width="9.28515625" style="1"/>
    <col min="257" max="257" width="5.85546875" style="1" customWidth="1"/>
    <col min="258" max="258" width="60.7109375" style="1" customWidth="1"/>
    <col min="259" max="259" width="8.28515625" style="1" customWidth="1"/>
    <col min="260" max="263" width="10.5703125" style="1" customWidth="1"/>
    <col min="264" max="512" width="9.28515625" style="1"/>
    <col min="513" max="513" width="5.85546875" style="1" customWidth="1"/>
    <col min="514" max="514" width="60.7109375" style="1" customWidth="1"/>
    <col min="515" max="515" width="8.28515625" style="1" customWidth="1"/>
    <col min="516" max="519" width="10.5703125" style="1" customWidth="1"/>
    <col min="520" max="768" width="9.28515625" style="1"/>
    <col min="769" max="769" width="5.85546875" style="1" customWidth="1"/>
    <col min="770" max="770" width="60.7109375" style="1" customWidth="1"/>
    <col min="771" max="771" width="8.28515625" style="1" customWidth="1"/>
    <col min="772" max="775" width="10.5703125" style="1" customWidth="1"/>
    <col min="776" max="1024" width="9.28515625" style="1"/>
    <col min="1025" max="1025" width="5.85546875" style="1" customWidth="1"/>
    <col min="1026" max="1026" width="60.7109375" style="1" customWidth="1"/>
    <col min="1027" max="1027" width="8.28515625" style="1" customWidth="1"/>
    <col min="1028" max="1031" width="10.5703125" style="1" customWidth="1"/>
    <col min="1032" max="1280" width="9.28515625" style="1"/>
    <col min="1281" max="1281" width="5.85546875" style="1" customWidth="1"/>
    <col min="1282" max="1282" width="60.7109375" style="1" customWidth="1"/>
    <col min="1283" max="1283" width="8.28515625" style="1" customWidth="1"/>
    <col min="1284" max="1287" width="10.5703125" style="1" customWidth="1"/>
    <col min="1288" max="1536" width="9.28515625" style="1"/>
    <col min="1537" max="1537" width="5.85546875" style="1" customWidth="1"/>
    <col min="1538" max="1538" width="60.7109375" style="1" customWidth="1"/>
    <col min="1539" max="1539" width="8.28515625" style="1" customWidth="1"/>
    <col min="1540" max="1543" width="10.5703125" style="1" customWidth="1"/>
    <col min="1544" max="1792" width="9.28515625" style="1"/>
    <col min="1793" max="1793" width="5.85546875" style="1" customWidth="1"/>
    <col min="1794" max="1794" width="60.7109375" style="1" customWidth="1"/>
    <col min="1795" max="1795" width="8.28515625" style="1" customWidth="1"/>
    <col min="1796" max="1799" width="10.5703125" style="1" customWidth="1"/>
    <col min="1800" max="2048" width="9.28515625" style="1"/>
    <col min="2049" max="2049" width="5.85546875" style="1" customWidth="1"/>
    <col min="2050" max="2050" width="60.7109375" style="1" customWidth="1"/>
    <col min="2051" max="2051" width="8.28515625" style="1" customWidth="1"/>
    <col min="2052" max="2055" width="10.5703125" style="1" customWidth="1"/>
    <col min="2056" max="2304" width="9.28515625" style="1"/>
    <col min="2305" max="2305" width="5.85546875" style="1" customWidth="1"/>
    <col min="2306" max="2306" width="60.7109375" style="1" customWidth="1"/>
    <col min="2307" max="2307" width="8.28515625" style="1" customWidth="1"/>
    <col min="2308" max="2311" width="10.5703125" style="1" customWidth="1"/>
    <col min="2312" max="2560" width="9.28515625" style="1"/>
    <col min="2561" max="2561" width="5.85546875" style="1" customWidth="1"/>
    <col min="2562" max="2562" width="60.7109375" style="1" customWidth="1"/>
    <col min="2563" max="2563" width="8.28515625" style="1" customWidth="1"/>
    <col min="2564" max="2567" width="10.5703125" style="1" customWidth="1"/>
    <col min="2568" max="2816" width="9.28515625" style="1"/>
    <col min="2817" max="2817" width="5.85546875" style="1" customWidth="1"/>
    <col min="2818" max="2818" width="60.7109375" style="1" customWidth="1"/>
    <col min="2819" max="2819" width="8.28515625" style="1" customWidth="1"/>
    <col min="2820" max="2823" width="10.5703125" style="1" customWidth="1"/>
    <col min="2824" max="3072" width="9.28515625" style="1"/>
    <col min="3073" max="3073" width="5.85546875" style="1" customWidth="1"/>
    <col min="3074" max="3074" width="60.7109375" style="1" customWidth="1"/>
    <col min="3075" max="3075" width="8.28515625" style="1" customWidth="1"/>
    <col min="3076" max="3079" width="10.5703125" style="1" customWidth="1"/>
    <col min="3080" max="3328" width="9.28515625" style="1"/>
    <col min="3329" max="3329" width="5.85546875" style="1" customWidth="1"/>
    <col min="3330" max="3330" width="60.7109375" style="1" customWidth="1"/>
    <col min="3331" max="3331" width="8.28515625" style="1" customWidth="1"/>
    <col min="3332" max="3335" width="10.5703125" style="1" customWidth="1"/>
    <col min="3336" max="3584" width="9.28515625" style="1"/>
    <col min="3585" max="3585" width="5.85546875" style="1" customWidth="1"/>
    <col min="3586" max="3586" width="60.7109375" style="1" customWidth="1"/>
    <col min="3587" max="3587" width="8.28515625" style="1" customWidth="1"/>
    <col min="3588" max="3591" width="10.5703125" style="1" customWidth="1"/>
    <col min="3592" max="3840" width="9.28515625" style="1"/>
    <col min="3841" max="3841" width="5.85546875" style="1" customWidth="1"/>
    <col min="3842" max="3842" width="60.7109375" style="1" customWidth="1"/>
    <col min="3843" max="3843" width="8.28515625" style="1" customWidth="1"/>
    <col min="3844" max="3847" width="10.5703125" style="1" customWidth="1"/>
    <col min="3848" max="4096" width="9.28515625" style="1"/>
    <col min="4097" max="4097" width="5.85546875" style="1" customWidth="1"/>
    <col min="4098" max="4098" width="60.7109375" style="1" customWidth="1"/>
    <col min="4099" max="4099" width="8.28515625" style="1" customWidth="1"/>
    <col min="4100" max="4103" width="10.5703125" style="1" customWidth="1"/>
    <col min="4104" max="4352" width="9.28515625" style="1"/>
    <col min="4353" max="4353" width="5.85546875" style="1" customWidth="1"/>
    <col min="4354" max="4354" width="60.7109375" style="1" customWidth="1"/>
    <col min="4355" max="4355" width="8.28515625" style="1" customWidth="1"/>
    <col min="4356" max="4359" width="10.5703125" style="1" customWidth="1"/>
    <col min="4360" max="4608" width="9.28515625" style="1"/>
    <col min="4609" max="4609" width="5.85546875" style="1" customWidth="1"/>
    <col min="4610" max="4610" width="60.7109375" style="1" customWidth="1"/>
    <col min="4611" max="4611" width="8.28515625" style="1" customWidth="1"/>
    <col min="4612" max="4615" width="10.5703125" style="1" customWidth="1"/>
    <col min="4616" max="4864" width="9.28515625" style="1"/>
    <col min="4865" max="4865" width="5.85546875" style="1" customWidth="1"/>
    <col min="4866" max="4866" width="60.7109375" style="1" customWidth="1"/>
    <col min="4867" max="4867" width="8.28515625" style="1" customWidth="1"/>
    <col min="4868" max="4871" width="10.5703125" style="1" customWidth="1"/>
    <col min="4872" max="5120" width="9.28515625" style="1"/>
    <col min="5121" max="5121" width="5.85546875" style="1" customWidth="1"/>
    <col min="5122" max="5122" width="60.7109375" style="1" customWidth="1"/>
    <col min="5123" max="5123" width="8.28515625" style="1" customWidth="1"/>
    <col min="5124" max="5127" width="10.5703125" style="1" customWidth="1"/>
    <col min="5128" max="5376" width="9.28515625" style="1"/>
    <col min="5377" max="5377" width="5.85546875" style="1" customWidth="1"/>
    <col min="5378" max="5378" width="60.7109375" style="1" customWidth="1"/>
    <col min="5379" max="5379" width="8.28515625" style="1" customWidth="1"/>
    <col min="5380" max="5383" width="10.5703125" style="1" customWidth="1"/>
    <col min="5384" max="5632" width="9.28515625" style="1"/>
    <col min="5633" max="5633" width="5.85546875" style="1" customWidth="1"/>
    <col min="5634" max="5634" width="60.7109375" style="1" customWidth="1"/>
    <col min="5635" max="5635" width="8.28515625" style="1" customWidth="1"/>
    <col min="5636" max="5639" width="10.5703125" style="1" customWidth="1"/>
    <col min="5640" max="5888" width="9.28515625" style="1"/>
    <col min="5889" max="5889" width="5.85546875" style="1" customWidth="1"/>
    <col min="5890" max="5890" width="60.7109375" style="1" customWidth="1"/>
    <col min="5891" max="5891" width="8.28515625" style="1" customWidth="1"/>
    <col min="5892" max="5895" width="10.5703125" style="1" customWidth="1"/>
    <col min="5896" max="6144" width="9.28515625" style="1"/>
    <col min="6145" max="6145" width="5.85546875" style="1" customWidth="1"/>
    <col min="6146" max="6146" width="60.7109375" style="1" customWidth="1"/>
    <col min="6147" max="6147" width="8.28515625" style="1" customWidth="1"/>
    <col min="6148" max="6151" width="10.5703125" style="1" customWidth="1"/>
    <col min="6152" max="6400" width="9.28515625" style="1"/>
    <col min="6401" max="6401" width="5.85546875" style="1" customWidth="1"/>
    <col min="6402" max="6402" width="60.7109375" style="1" customWidth="1"/>
    <col min="6403" max="6403" width="8.28515625" style="1" customWidth="1"/>
    <col min="6404" max="6407" width="10.5703125" style="1" customWidth="1"/>
    <col min="6408" max="6656" width="9.28515625" style="1"/>
    <col min="6657" max="6657" width="5.85546875" style="1" customWidth="1"/>
    <col min="6658" max="6658" width="60.7109375" style="1" customWidth="1"/>
    <col min="6659" max="6659" width="8.28515625" style="1" customWidth="1"/>
    <col min="6660" max="6663" width="10.5703125" style="1" customWidth="1"/>
    <col min="6664" max="6912" width="9.28515625" style="1"/>
    <col min="6913" max="6913" width="5.85546875" style="1" customWidth="1"/>
    <col min="6914" max="6914" width="60.7109375" style="1" customWidth="1"/>
    <col min="6915" max="6915" width="8.28515625" style="1" customWidth="1"/>
    <col min="6916" max="6919" width="10.5703125" style="1" customWidth="1"/>
    <col min="6920" max="7168" width="9.28515625" style="1"/>
    <col min="7169" max="7169" width="5.85546875" style="1" customWidth="1"/>
    <col min="7170" max="7170" width="60.7109375" style="1" customWidth="1"/>
    <col min="7171" max="7171" width="8.28515625" style="1" customWidth="1"/>
    <col min="7172" max="7175" width="10.5703125" style="1" customWidth="1"/>
    <col min="7176" max="7424" width="9.28515625" style="1"/>
    <col min="7425" max="7425" width="5.85546875" style="1" customWidth="1"/>
    <col min="7426" max="7426" width="60.7109375" style="1" customWidth="1"/>
    <col min="7427" max="7427" width="8.28515625" style="1" customWidth="1"/>
    <col min="7428" max="7431" width="10.5703125" style="1" customWidth="1"/>
    <col min="7432" max="7680" width="9.28515625" style="1"/>
    <col min="7681" max="7681" width="5.85546875" style="1" customWidth="1"/>
    <col min="7682" max="7682" width="60.7109375" style="1" customWidth="1"/>
    <col min="7683" max="7683" width="8.28515625" style="1" customWidth="1"/>
    <col min="7684" max="7687" width="10.5703125" style="1" customWidth="1"/>
    <col min="7688" max="7936" width="9.28515625" style="1"/>
    <col min="7937" max="7937" width="5.85546875" style="1" customWidth="1"/>
    <col min="7938" max="7938" width="60.7109375" style="1" customWidth="1"/>
    <col min="7939" max="7939" width="8.28515625" style="1" customWidth="1"/>
    <col min="7940" max="7943" width="10.5703125" style="1" customWidth="1"/>
    <col min="7944" max="8192" width="9.28515625" style="1"/>
    <col min="8193" max="8193" width="5.85546875" style="1" customWidth="1"/>
    <col min="8194" max="8194" width="60.7109375" style="1" customWidth="1"/>
    <col min="8195" max="8195" width="8.28515625" style="1" customWidth="1"/>
    <col min="8196" max="8199" width="10.5703125" style="1" customWidth="1"/>
    <col min="8200" max="8448" width="9.28515625" style="1"/>
    <col min="8449" max="8449" width="5.85546875" style="1" customWidth="1"/>
    <col min="8450" max="8450" width="60.7109375" style="1" customWidth="1"/>
    <col min="8451" max="8451" width="8.28515625" style="1" customWidth="1"/>
    <col min="8452" max="8455" width="10.5703125" style="1" customWidth="1"/>
    <col min="8456" max="8704" width="9.28515625" style="1"/>
    <col min="8705" max="8705" width="5.85546875" style="1" customWidth="1"/>
    <col min="8706" max="8706" width="60.7109375" style="1" customWidth="1"/>
    <col min="8707" max="8707" width="8.28515625" style="1" customWidth="1"/>
    <col min="8708" max="8711" width="10.5703125" style="1" customWidth="1"/>
    <col min="8712" max="8960" width="9.28515625" style="1"/>
    <col min="8961" max="8961" width="5.85546875" style="1" customWidth="1"/>
    <col min="8962" max="8962" width="60.7109375" style="1" customWidth="1"/>
    <col min="8963" max="8963" width="8.28515625" style="1" customWidth="1"/>
    <col min="8964" max="8967" width="10.5703125" style="1" customWidth="1"/>
    <col min="8968" max="9216" width="9.28515625" style="1"/>
    <col min="9217" max="9217" width="5.85546875" style="1" customWidth="1"/>
    <col min="9218" max="9218" width="60.7109375" style="1" customWidth="1"/>
    <col min="9219" max="9219" width="8.28515625" style="1" customWidth="1"/>
    <col min="9220" max="9223" width="10.5703125" style="1" customWidth="1"/>
    <col min="9224" max="9472" width="9.28515625" style="1"/>
    <col min="9473" max="9473" width="5.85546875" style="1" customWidth="1"/>
    <col min="9474" max="9474" width="60.7109375" style="1" customWidth="1"/>
    <col min="9475" max="9475" width="8.28515625" style="1" customWidth="1"/>
    <col min="9476" max="9479" width="10.5703125" style="1" customWidth="1"/>
    <col min="9480" max="9728" width="9.28515625" style="1"/>
    <col min="9729" max="9729" width="5.85546875" style="1" customWidth="1"/>
    <col min="9730" max="9730" width="60.7109375" style="1" customWidth="1"/>
    <col min="9731" max="9731" width="8.28515625" style="1" customWidth="1"/>
    <col min="9732" max="9735" width="10.5703125" style="1" customWidth="1"/>
    <col min="9736" max="9984" width="9.28515625" style="1"/>
    <col min="9985" max="9985" width="5.85546875" style="1" customWidth="1"/>
    <col min="9986" max="9986" width="60.7109375" style="1" customWidth="1"/>
    <col min="9987" max="9987" width="8.28515625" style="1" customWidth="1"/>
    <col min="9988" max="9991" width="10.5703125" style="1" customWidth="1"/>
    <col min="9992" max="10240" width="9.28515625" style="1"/>
    <col min="10241" max="10241" width="5.85546875" style="1" customWidth="1"/>
    <col min="10242" max="10242" width="60.7109375" style="1" customWidth="1"/>
    <col min="10243" max="10243" width="8.28515625" style="1" customWidth="1"/>
    <col min="10244" max="10247" width="10.5703125" style="1" customWidth="1"/>
    <col min="10248" max="10496" width="9.28515625" style="1"/>
    <col min="10497" max="10497" width="5.85546875" style="1" customWidth="1"/>
    <col min="10498" max="10498" width="60.7109375" style="1" customWidth="1"/>
    <col min="10499" max="10499" width="8.28515625" style="1" customWidth="1"/>
    <col min="10500" max="10503" width="10.5703125" style="1" customWidth="1"/>
    <col min="10504" max="10752" width="9.28515625" style="1"/>
    <col min="10753" max="10753" width="5.85546875" style="1" customWidth="1"/>
    <col min="10754" max="10754" width="60.7109375" style="1" customWidth="1"/>
    <col min="10755" max="10755" width="8.28515625" style="1" customWidth="1"/>
    <col min="10756" max="10759" width="10.5703125" style="1" customWidth="1"/>
    <col min="10760" max="11008" width="9.28515625" style="1"/>
    <col min="11009" max="11009" width="5.85546875" style="1" customWidth="1"/>
    <col min="11010" max="11010" width="60.7109375" style="1" customWidth="1"/>
    <col min="11011" max="11011" width="8.28515625" style="1" customWidth="1"/>
    <col min="11012" max="11015" width="10.5703125" style="1" customWidth="1"/>
    <col min="11016" max="11264" width="9.28515625" style="1"/>
    <col min="11265" max="11265" width="5.85546875" style="1" customWidth="1"/>
    <col min="11266" max="11266" width="60.7109375" style="1" customWidth="1"/>
    <col min="11267" max="11267" width="8.28515625" style="1" customWidth="1"/>
    <col min="11268" max="11271" width="10.5703125" style="1" customWidth="1"/>
    <col min="11272" max="11520" width="9.28515625" style="1"/>
    <col min="11521" max="11521" width="5.85546875" style="1" customWidth="1"/>
    <col min="11522" max="11522" width="60.7109375" style="1" customWidth="1"/>
    <col min="11523" max="11523" width="8.28515625" style="1" customWidth="1"/>
    <col min="11524" max="11527" width="10.5703125" style="1" customWidth="1"/>
    <col min="11528" max="11776" width="9.28515625" style="1"/>
    <col min="11777" max="11777" width="5.85546875" style="1" customWidth="1"/>
    <col min="11778" max="11778" width="60.7109375" style="1" customWidth="1"/>
    <col min="11779" max="11779" width="8.28515625" style="1" customWidth="1"/>
    <col min="11780" max="11783" width="10.5703125" style="1" customWidth="1"/>
    <col min="11784" max="12032" width="9.28515625" style="1"/>
    <col min="12033" max="12033" width="5.85546875" style="1" customWidth="1"/>
    <col min="12034" max="12034" width="60.7109375" style="1" customWidth="1"/>
    <col min="12035" max="12035" width="8.28515625" style="1" customWidth="1"/>
    <col min="12036" max="12039" width="10.5703125" style="1" customWidth="1"/>
    <col min="12040" max="12288" width="9.28515625" style="1"/>
    <col min="12289" max="12289" width="5.85546875" style="1" customWidth="1"/>
    <col min="12290" max="12290" width="60.7109375" style="1" customWidth="1"/>
    <col min="12291" max="12291" width="8.28515625" style="1" customWidth="1"/>
    <col min="12292" max="12295" width="10.5703125" style="1" customWidth="1"/>
    <col min="12296" max="12544" width="9.28515625" style="1"/>
    <col min="12545" max="12545" width="5.85546875" style="1" customWidth="1"/>
    <col min="12546" max="12546" width="60.7109375" style="1" customWidth="1"/>
    <col min="12547" max="12547" width="8.28515625" style="1" customWidth="1"/>
    <col min="12548" max="12551" width="10.5703125" style="1" customWidth="1"/>
    <col min="12552" max="12800" width="9.28515625" style="1"/>
    <col min="12801" max="12801" width="5.85546875" style="1" customWidth="1"/>
    <col min="12802" max="12802" width="60.7109375" style="1" customWidth="1"/>
    <col min="12803" max="12803" width="8.28515625" style="1" customWidth="1"/>
    <col min="12804" max="12807" width="10.5703125" style="1" customWidth="1"/>
    <col min="12808" max="13056" width="9.28515625" style="1"/>
    <col min="13057" max="13057" width="5.85546875" style="1" customWidth="1"/>
    <col min="13058" max="13058" width="60.7109375" style="1" customWidth="1"/>
    <col min="13059" max="13059" width="8.28515625" style="1" customWidth="1"/>
    <col min="13060" max="13063" width="10.5703125" style="1" customWidth="1"/>
    <col min="13064" max="13312" width="9.28515625" style="1"/>
    <col min="13313" max="13313" width="5.85546875" style="1" customWidth="1"/>
    <col min="13314" max="13314" width="60.7109375" style="1" customWidth="1"/>
    <col min="13315" max="13315" width="8.28515625" style="1" customWidth="1"/>
    <col min="13316" max="13319" width="10.5703125" style="1" customWidth="1"/>
    <col min="13320" max="13568" width="9.28515625" style="1"/>
    <col min="13569" max="13569" width="5.85546875" style="1" customWidth="1"/>
    <col min="13570" max="13570" width="60.7109375" style="1" customWidth="1"/>
    <col min="13571" max="13571" width="8.28515625" style="1" customWidth="1"/>
    <col min="13572" max="13575" width="10.5703125" style="1" customWidth="1"/>
    <col min="13576" max="13824" width="9.28515625" style="1"/>
    <col min="13825" max="13825" width="5.85546875" style="1" customWidth="1"/>
    <col min="13826" max="13826" width="60.7109375" style="1" customWidth="1"/>
    <col min="13827" max="13827" width="8.28515625" style="1" customWidth="1"/>
    <col min="13828" max="13831" width="10.5703125" style="1" customWidth="1"/>
    <col min="13832" max="14080" width="9.28515625" style="1"/>
    <col min="14081" max="14081" width="5.85546875" style="1" customWidth="1"/>
    <col min="14082" max="14082" width="60.7109375" style="1" customWidth="1"/>
    <col min="14083" max="14083" width="8.28515625" style="1" customWidth="1"/>
    <col min="14084" max="14087" width="10.5703125" style="1" customWidth="1"/>
    <col min="14088" max="14336" width="9.28515625" style="1"/>
    <col min="14337" max="14337" width="5.85546875" style="1" customWidth="1"/>
    <col min="14338" max="14338" width="60.7109375" style="1" customWidth="1"/>
    <col min="14339" max="14339" width="8.28515625" style="1" customWidth="1"/>
    <col min="14340" max="14343" width="10.5703125" style="1" customWidth="1"/>
    <col min="14344" max="14592" width="9.28515625" style="1"/>
    <col min="14593" max="14593" width="5.85546875" style="1" customWidth="1"/>
    <col min="14594" max="14594" width="60.7109375" style="1" customWidth="1"/>
    <col min="14595" max="14595" width="8.28515625" style="1" customWidth="1"/>
    <col min="14596" max="14599" width="10.5703125" style="1" customWidth="1"/>
    <col min="14600" max="14848" width="9.28515625" style="1"/>
    <col min="14849" max="14849" width="5.85546875" style="1" customWidth="1"/>
    <col min="14850" max="14850" width="60.7109375" style="1" customWidth="1"/>
    <col min="14851" max="14851" width="8.28515625" style="1" customWidth="1"/>
    <col min="14852" max="14855" width="10.5703125" style="1" customWidth="1"/>
    <col min="14856" max="15104" width="9.28515625" style="1"/>
    <col min="15105" max="15105" width="5.85546875" style="1" customWidth="1"/>
    <col min="15106" max="15106" width="60.7109375" style="1" customWidth="1"/>
    <col min="15107" max="15107" width="8.28515625" style="1" customWidth="1"/>
    <col min="15108" max="15111" width="10.5703125" style="1" customWidth="1"/>
    <col min="15112" max="15360" width="9.28515625" style="1"/>
    <col min="15361" max="15361" width="5.85546875" style="1" customWidth="1"/>
    <col min="15362" max="15362" width="60.7109375" style="1" customWidth="1"/>
    <col min="15363" max="15363" width="8.28515625" style="1" customWidth="1"/>
    <col min="15364" max="15367" width="10.5703125" style="1" customWidth="1"/>
    <col min="15368" max="15616" width="9.28515625" style="1"/>
    <col min="15617" max="15617" width="5.85546875" style="1" customWidth="1"/>
    <col min="15618" max="15618" width="60.7109375" style="1" customWidth="1"/>
    <col min="15619" max="15619" width="8.28515625" style="1" customWidth="1"/>
    <col min="15620" max="15623" width="10.5703125" style="1" customWidth="1"/>
    <col min="15624" max="15872" width="9.28515625" style="1"/>
    <col min="15873" max="15873" width="5.85546875" style="1" customWidth="1"/>
    <col min="15874" max="15874" width="60.7109375" style="1" customWidth="1"/>
    <col min="15875" max="15875" width="8.28515625" style="1" customWidth="1"/>
    <col min="15876" max="15879" width="10.5703125" style="1" customWidth="1"/>
    <col min="15880" max="16128" width="9.28515625" style="1"/>
    <col min="16129" max="16129" width="5.85546875" style="1" customWidth="1"/>
    <col min="16130" max="16130" width="60.7109375" style="1" customWidth="1"/>
    <col min="16131" max="16131" width="8.28515625" style="1" customWidth="1"/>
    <col min="16132" max="16135" width="10.5703125" style="1" customWidth="1"/>
    <col min="16136" max="16384" width="9.28515625" style="1"/>
  </cols>
  <sheetData>
    <row r="1" spans="1:7" x14ac:dyDescent="0.2">
      <c r="E1" s="8" t="s">
        <v>4</v>
      </c>
      <c r="G1" s="1"/>
    </row>
    <row r="2" spans="1:7" x14ac:dyDescent="0.2">
      <c r="E2" s="8" t="s">
        <v>206</v>
      </c>
      <c r="G2" s="1"/>
    </row>
    <row r="3" spans="1:7" hidden="1" x14ac:dyDescent="0.2">
      <c r="E3" s="8" t="s">
        <v>207</v>
      </c>
      <c r="G3" s="1"/>
    </row>
    <row r="4" spans="1:7" hidden="1" x14ac:dyDescent="0.2">
      <c r="E4" s="8" t="s">
        <v>186</v>
      </c>
      <c r="G4" s="1"/>
    </row>
    <row r="5" spans="1:7" x14ac:dyDescent="0.2">
      <c r="E5" s="8" t="s">
        <v>208</v>
      </c>
      <c r="G5" s="1"/>
    </row>
    <row r="6" spans="1:7" x14ac:dyDescent="0.2">
      <c r="D6" s="10"/>
      <c r="E6" s="10"/>
      <c r="F6" s="10"/>
      <c r="G6" s="10"/>
    </row>
    <row r="7" spans="1:7" ht="3.75" customHeight="1" x14ac:dyDescent="0.2">
      <c r="D7" s="10"/>
      <c r="E7" s="10"/>
      <c r="F7" s="10"/>
      <c r="G7" s="10"/>
    </row>
    <row r="8" spans="1:7" ht="18.75" customHeight="1" x14ac:dyDescent="0.25">
      <c r="B8" s="437" t="s">
        <v>209</v>
      </c>
      <c r="C8" s="437"/>
      <c r="D8" s="437"/>
      <c r="E8" s="437"/>
      <c r="F8" s="437"/>
      <c r="G8" s="437"/>
    </row>
    <row r="9" spans="1:7" ht="19.5" customHeight="1" x14ac:dyDescent="0.25">
      <c r="B9" s="437" t="s">
        <v>210</v>
      </c>
      <c r="C9" s="437"/>
      <c r="D9" s="437"/>
      <c r="E9" s="437"/>
      <c r="F9" s="437"/>
      <c r="G9" s="437"/>
    </row>
    <row r="10" spans="1:7" ht="12.75" thickBot="1" x14ac:dyDescent="0.25">
      <c r="G10" s="14" t="s">
        <v>151</v>
      </c>
    </row>
    <row r="11" spans="1:7" s="2" customFormat="1" ht="13.9" customHeight="1" x14ac:dyDescent="0.2">
      <c r="A11" s="444" t="s">
        <v>6</v>
      </c>
      <c r="B11" s="441" t="s">
        <v>211</v>
      </c>
      <c r="C11" s="438" t="s">
        <v>212</v>
      </c>
      <c r="D11" s="466" t="s">
        <v>0</v>
      </c>
      <c r="E11" s="470" t="s">
        <v>213</v>
      </c>
      <c r="F11" s="471"/>
      <c r="G11" s="472"/>
    </row>
    <row r="12" spans="1:7" s="2" customFormat="1" ht="13.9" customHeight="1" x14ac:dyDescent="0.2">
      <c r="A12" s="445"/>
      <c r="B12" s="464"/>
      <c r="C12" s="439"/>
      <c r="D12" s="467"/>
      <c r="E12" s="473" t="s">
        <v>5</v>
      </c>
      <c r="F12" s="474"/>
      <c r="G12" s="475"/>
    </row>
    <row r="13" spans="1:7" s="3" customFormat="1" ht="18" customHeight="1" x14ac:dyDescent="0.2">
      <c r="A13" s="445"/>
      <c r="B13" s="442"/>
      <c r="C13" s="439"/>
      <c r="D13" s="468"/>
      <c r="E13" s="455" t="s">
        <v>1</v>
      </c>
      <c r="F13" s="456"/>
      <c r="G13" s="457" t="s">
        <v>39</v>
      </c>
    </row>
    <row r="14" spans="1:7" s="3" customFormat="1" ht="12" customHeight="1" x14ac:dyDescent="0.2">
      <c r="A14" s="445"/>
      <c r="B14" s="442"/>
      <c r="C14" s="439"/>
      <c r="D14" s="468"/>
      <c r="E14" s="460" t="s">
        <v>0</v>
      </c>
      <c r="F14" s="431" t="s">
        <v>38</v>
      </c>
      <c r="G14" s="458"/>
    </row>
    <row r="15" spans="1:7" ht="24.75" customHeight="1" thickBot="1" x14ac:dyDescent="0.25">
      <c r="A15" s="446"/>
      <c r="B15" s="465"/>
      <c r="C15" s="440"/>
      <c r="D15" s="469"/>
      <c r="E15" s="462"/>
      <c r="F15" s="463"/>
      <c r="G15" s="458"/>
    </row>
    <row r="16" spans="1:7" ht="17.25" customHeight="1" x14ac:dyDescent="0.2">
      <c r="A16" s="188">
        <v>1</v>
      </c>
      <c r="B16" s="189">
        <v>2</v>
      </c>
      <c r="C16" s="190">
        <v>3</v>
      </c>
      <c r="D16" s="191">
        <v>4</v>
      </c>
      <c r="E16" s="192">
        <v>5</v>
      </c>
      <c r="F16" s="193">
        <v>6</v>
      </c>
      <c r="G16" s="194">
        <v>7</v>
      </c>
    </row>
    <row r="17" spans="1:11" s="4" customFormat="1" ht="21.75" customHeight="1" x14ac:dyDescent="0.2">
      <c r="A17" s="195" t="s">
        <v>122</v>
      </c>
      <c r="B17" s="43" t="s">
        <v>21</v>
      </c>
      <c r="C17" s="196"/>
      <c r="D17" s="197">
        <f>SUM(D19:D45)</f>
        <v>672.67799999999988</v>
      </c>
      <c r="E17" s="198">
        <f>SUM(E19:E45)</f>
        <v>672.67799999999988</v>
      </c>
      <c r="F17" s="199">
        <f>SUM(F19:F45)</f>
        <v>263.55899999999997</v>
      </c>
      <c r="G17" s="200"/>
    </row>
    <row r="18" spans="1:11" ht="15.75" x14ac:dyDescent="0.25">
      <c r="A18" s="50"/>
      <c r="B18" s="201" t="s">
        <v>214</v>
      </c>
      <c r="C18" s="202"/>
      <c r="D18" s="203"/>
      <c r="E18" s="204"/>
      <c r="F18" s="205"/>
      <c r="G18" s="206"/>
    </row>
    <row r="19" spans="1:11" s="4" customFormat="1" ht="27" customHeight="1" x14ac:dyDescent="0.2">
      <c r="A19" s="50" t="s">
        <v>22</v>
      </c>
      <c r="B19" s="6" t="s">
        <v>215</v>
      </c>
      <c r="C19" s="52" t="s">
        <v>23</v>
      </c>
      <c r="D19" s="203">
        <f>E19+G19</f>
        <v>0.3</v>
      </c>
      <c r="E19" s="204">
        <v>0.3</v>
      </c>
      <c r="F19" s="207">
        <v>0.29499999999999998</v>
      </c>
      <c r="G19" s="200"/>
    </row>
    <row r="20" spans="1:11" ht="24" customHeight="1" x14ac:dyDescent="0.2">
      <c r="A20" s="50" t="s">
        <v>216</v>
      </c>
      <c r="B20" s="208" t="s">
        <v>217</v>
      </c>
      <c r="C20" s="52" t="s">
        <v>23</v>
      </c>
      <c r="D20" s="203">
        <f t="shared" ref="D20:D45" si="0">E20+G20</f>
        <v>9.4</v>
      </c>
      <c r="E20" s="204">
        <v>9.4</v>
      </c>
      <c r="F20" s="207">
        <v>8.3000000000000007</v>
      </c>
      <c r="G20" s="206"/>
      <c r="J20" s="209"/>
    </row>
    <row r="21" spans="1:11" ht="30.75" customHeight="1" x14ac:dyDescent="0.2">
      <c r="A21" s="50" t="s">
        <v>218</v>
      </c>
      <c r="B21" s="208" t="s">
        <v>219</v>
      </c>
      <c r="C21" s="52" t="s">
        <v>23</v>
      </c>
      <c r="D21" s="203">
        <f t="shared" si="0"/>
        <v>0.1</v>
      </c>
      <c r="E21" s="204">
        <v>0.1</v>
      </c>
      <c r="F21" s="207">
        <v>0.1</v>
      </c>
      <c r="G21" s="206"/>
    </row>
    <row r="22" spans="1:11" ht="24.75" customHeight="1" x14ac:dyDescent="0.2">
      <c r="A22" s="50" t="s">
        <v>220</v>
      </c>
      <c r="B22" s="6" t="s">
        <v>221</v>
      </c>
      <c r="C22" s="52" t="s">
        <v>23</v>
      </c>
      <c r="D22" s="203">
        <f t="shared" si="0"/>
        <v>18.5</v>
      </c>
      <c r="E22" s="204">
        <v>18.5</v>
      </c>
      <c r="F22" s="207">
        <v>17.75</v>
      </c>
      <c r="G22" s="210"/>
    </row>
    <row r="23" spans="1:11" ht="27" customHeight="1" x14ac:dyDescent="0.2">
      <c r="A23" s="50" t="s">
        <v>222</v>
      </c>
      <c r="B23" s="6" t="s">
        <v>223</v>
      </c>
      <c r="C23" s="52" t="s">
        <v>23</v>
      </c>
      <c r="D23" s="203">
        <f t="shared" si="0"/>
        <v>18.28</v>
      </c>
      <c r="E23" s="204">
        <v>18.28</v>
      </c>
      <c r="F23" s="207">
        <v>18.018999999999998</v>
      </c>
      <c r="G23" s="206"/>
    </row>
    <row r="24" spans="1:11" s="211" customFormat="1" ht="28.5" customHeight="1" x14ac:dyDescent="0.2">
      <c r="A24" s="50" t="s">
        <v>224</v>
      </c>
      <c r="B24" s="6" t="s">
        <v>225</v>
      </c>
      <c r="C24" s="52" t="s">
        <v>23</v>
      </c>
      <c r="D24" s="203">
        <f t="shared" si="0"/>
        <v>24</v>
      </c>
      <c r="E24" s="204">
        <v>24</v>
      </c>
      <c r="F24" s="207">
        <v>23.66</v>
      </c>
      <c r="G24" s="206"/>
    </row>
    <row r="25" spans="1:11" s="211" customFormat="1" ht="26.25" customHeight="1" x14ac:dyDescent="0.2">
      <c r="A25" s="50" t="s">
        <v>226</v>
      </c>
      <c r="B25" s="212" t="s">
        <v>227</v>
      </c>
      <c r="C25" s="52" t="s">
        <v>23</v>
      </c>
      <c r="D25" s="203">
        <f t="shared" si="0"/>
        <v>14.9</v>
      </c>
      <c r="E25" s="204">
        <v>14.9</v>
      </c>
      <c r="F25" s="207">
        <v>14.5</v>
      </c>
      <c r="G25" s="206"/>
    </row>
    <row r="26" spans="1:11" s="211" customFormat="1" ht="26.25" customHeight="1" x14ac:dyDescent="0.2">
      <c r="A26" s="50" t="s">
        <v>228</v>
      </c>
      <c r="B26" s="212" t="s">
        <v>229</v>
      </c>
      <c r="C26" s="52" t="s">
        <v>23</v>
      </c>
      <c r="D26" s="203">
        <f t="shared" si="0"/>
        <v>12.2</v>
      </c>
      <c r="E26" s="204">
        <v>12.2</v>
      </c>
      <c r="F26" s="207">
        <v>10.7</v>
      </c>
      <c r="G26" s="206"/>
    </row>
    <row r="27" spans="1:11" s="211" customFormat="1" ht="27.75" customHeight="1" x14ac:dyDescent="0.2">
      <c r="A27" s="50" t="s">
        <v>230</v>
      </c>
      <c r="B27" s="212" t="s">
        <v>231</v>
      </c>
      <c r="C27" s="52" t="s">
        <v>23</v>
      </c>
      <c r="D27" s="203">
        <f t="shared" si="0"/>
        <v>3.6</v>
      </c>
      <c r="E27" s="204">
        <v>3.6</v>
      </c>
      <c r="F27" s="207">
        <v>3.55</v>
      </c>
      <c r="G27" s="206"/>
    </row>
    <row r="28" spans="1:11" s="211" customFormat="1" ht="27.75" customHeight="1" x14ac:dyDescent="0.2">
      <c r="A28" s="50" t="s">
        <v>232</v>
      </c>
      <c r="B28" s="212" t="s">
        <v>233</v>
      </c>
      <c r="C28" s="52" t="s">
        <v>23</v>
      </c>
      <c r="D28" s="203">
        <f t="shared" si="0"/>
        <v>22.7</v>
      </c>
      <c r="E28" s="204">
        <v>22.7</v>
      </c>
      <c r="F28" s="207">
        <v>17.32</v>
      </c>
      <c r="G28" s="206"/>
    </row>
    <row r="29" spans="1:11" s="211" customFormat="1" ht="25.5" customHeight="1" x14ac:dyDescent="0.2">
      <c r="A29" s="50" t="s">
        <v>234</v>
      </c>
      <c r="B29" s="212" t="s">
        <v>235</v>
      </c>
      <c r="C29" s="52" t="s">
        <v>23</v>
      </c>
      <c r="D29" s="203">
        <f t="shared" si="0"/>
        <v>6.2</v>
      </c>
      <c r="E29" s="204">
        <v>6.2</v>
      </c>
      <c r="F29" s="207">
        <v>5.165</v>
      </c>
      <c r="G29" s="206"/>
    </row>
    <row r="30" spans="1:11" s="211" customFormat="1" ht="25.5" customHeight="1" x14ac:dyDescent="0.2">
      <c r="A30" s="50" t="s">
        <v>236</v>
      </c>
      <c r="B30" s="6" t="s">
        <v>237</v>
      </c>
      <c r="C30" s="52" t="s">
        <v>23</v>
      </c>
      <c r="D30" s="203">
        <f t="shared" si="0"/>
        <v>3.1</v>
      </c>
      <c r="E30" s="204">
        <v>3.1</v>
      </c>
      <c r="F30" s="207">
        <v>3.0550000000000002</v>
      </c>
      <c r="G30" s="206"/>
    </row>
    <row r="31" spans="1:11" s="211" customFormat="1" ht="24.75" customHeight="1" x14ac:dyDescent="0.2">
      <c r="A31" s="50" t="s">
        <v>238</v>
      </c>
      <c r="B31" s="6" t="s">
        <v>239</v>
      </c>
      <c r="C31" s="52" t="s">
        <v>24</v>
      </c>
      <c r="D31" s="203">
        <f t="shared" si="0"/>
        <v>103.4</v>
      </c>
      <c r="E31" s="204">
        <v>103.4</v>
      </c>
      <c r="F31" s="207"/>
      <c r="G31" s="206"/>
      <c r="K31" s="8"/>
    </row>
    <row r="32" spans="1:11" s="211" customFormat="1" ht="28.5" customHeight="1" x14ac:dyDescent="0.2">
      <c r="A32" s="50" t="s">
        <v>240</v>
      </c>
      <c r="B32" s="6" t="s">
        <v>241</v>
      </c>
      <c r="C32" s="52" t="s">
        <v>23</v>
      </c>
      <c r="D32" s="203">
        <f t="shared" si="0"/>
        <v>8.35</v>
      </c>
      <c r="E32" s="204">
        <v>8.35</v>
      </c>
      <c r="F32" s="207">
        <v>7.5</v>
      </c>
      <c r="G32" s="206"/>
      <c r="K32" s="8"/>
    </row>
    <row r="33" spans="1:7" s="211" customFormat="1" ht="27" customHeight="1" x14ac:dyDescent="0.2">
      <c r="A33" s="50"/>
      <c r="B33" s="6" t="s">
        <v>242</v>
      </c>
      <c r="C33" s="52" t="s">
        <v>24</v>
      </c>
      <c r="D33" s="203">
        <f t="shared" si="0"/>
        <v>30.731999999999999</v>
      </c>
      <c r="E33" s="204">
        <v>30.731999999999999</v>
      </c>
      <c r="F33" s="207"/>
      <c r="G33" s="206"/>
    </row>
    <row r="34" spans="1:7" s="211" customFormat="1" ht="30" customHeight="1" x14ac:dyDescent="0.2">
      <c r="A34" s="50" t="s">
        <v>243</v>
      </c>
      <c r="B34" s="212" t="s">
        <v>244</v>
      </c>
      <c r="C34" s="52" t="s">
        <v>23</v>
      </c>
      <c r="D34" s="203">
        <f t="shared" si="0"/>
        <v>9.7550000000000008</v>
      </c>
      <c r="E34" s="204">
        <v>9.7550000000000008</v>
      </c>
      <c r="F34" s="207">
        <v>9.25</v>
      </c>
      <c r="G34" s="206"/>
    </row>
    <row r="35" spans="1:7" s="211" customFormat="1" ht="24.75" customHeight="1" x14ac:dyDescent="0.2">
      <c r="A35" s="50"/>
      <c r="B35" s="212" t="s">
        <v>245</v>
      </c>
      <c r="C35" s="52" t="s">
        <v>24</v>
      </c>
      <c r="D35" s="203">
        <f t="shared" si="0"/>
        <v>32.715000000000003</v>
      </c>
      <c r="E35" s="213">
        <v>32.715000000000003</v>
      </c>
      <c r="F35" s="207"/>
      <c r="G35" s="206"/>
    </row>
    <row r="36" spans="1:7" s="211" customFormat="1" ht="23.25" customHeight="1" x14ac:dyDescent="0.2">
      <c r="A36" s="50" t="s">
        <v>246</v>
      </c>
      <c r="B36" s="212" t="s">
        <v>247</v>
      </c>
      <c r="C36" s="52" t="s">
        <v>23</v>
      </c>
      <c r="D36" s="203">
        <f t="shared" si="0"/>
        <v>7.5</v>
      </c>
      <c r="E36" s="204">
        <v>7.5</v>
      </c>
      <c r="F36" s="207">
        <v>6.9</v>
      </c>
      <c r="G36" s="206"/>
    </row>
    <row r="37" spans="1:7" s="211" customFormat="1" ht="38.25" customHeight="1" x14ac:dyDescent="0.2">
      <c r="A37" s="50"/>
      <c r="B37" s="212" t="s">
        <v>248</v>
      </c>
      <c r="C37" s="52" t="s">
        <v>41</v>
      </c>
      <c r="D37" s="203">
        <f t="shared" si="0"/>
        <v>83.3</v>
      </c>
      <c r="E37" s="204">
        <v>83.3</v>
      </c>
      <c r="F37" s="207">
        <v>13.8</v>
      </c>
      <c r="G37" s="206"/>
    </row>
    <row r="38" spans="1:7" s="211" customFormat="1" ht="28.5" customHeight="1" x14ac:dyDescent="0.2">
      <c r="A38" s="50"/>
      <c r="B38" s="212" t="s">
        <v>249</v>
      </c>
      <c r="C38" s="52" t="s">
        <v>41</v>
      </c>
      <c r="D38" s="203">
        <f t="shared" si="0"/>
        <v>104.2</v>
      </c>
      <c r="E38" s="204">
        <v>104.2</v>
      </c>
      <c r="F38" s="207">
        <v>101.99</v>
      </c>
      <c r="G38" s="206"/>
    </row>
    <row r="39" spans="1:7" s="211" customFormat="1" ht="24" customHeight="1" x14ac:dyDescent="0.2">
      <c r="A39" s="50" t="s">
        <v>250</v>
      </c>
      <c r="B39" s="212" t="s">
        <v>251</v>
      </c>
      <c r="C39" s="52" t="s">
        <v>24</v>
      </c>
      <c r="D39" s="203">
        <f t="shared" si="0"/>
        <v>0.1</v>
      </c>
      <c r="E39" s="204">
        <v>0.1</v>
      </c>
      <c r="F39" s="207"/>
      <c r="G39" s="206"/>
    </row>
    <row r="40" spans="1:7" s="211" customFormat="1" ht="30.75" customHeight="1" x14ac:dyDescent="0.2">
      <c r="A40" s="50" t="s">
        <v>252</v>
      </c>
      <c r="B40" s="212" t="s">
        <v>253</v>
      </c>
      <c r="C40" s="52" t="s">
        <v>34</v>
      </c>
      <c r="D40" s="203">
        <f t="shared" si="0"/>
        <v>77.900000000000006</v>
      </c>
      <c r="E40" s="204">
        <v>77.900000000000006</v>
      </c>
      <c r="F40" s="207"/>
      <c r="G40" s="206"/>
    </row>
    <row r="41" spans="1:7" s="211" customFormat="1" ht="30" customHeight="1" x14ac:dyDescent="0.2">
      <c r="A41" s="50" t="s">
        <v>254</v>
      </c>
      <c r="B41" s="212" t="s">
        <v>255</v>
      </c>
      <c r="C41" s="52" t="s">
        <v>34</v>
      </c>
      <c r="D41" s="203">
        <f t="shared" si="0"/>
        <v>53.6</v>
      </c>
      <c r="E41" s="204">
        <v>53.6</v>
      </c>
      <c r="F41" s="207"/>
      <c r="G41" s="206"/>
    </row>
    <row r="42" spans="1:7" s="211" customFormat="1" ht="30" customHeight="1" x14ac:dyDescent="0.2">
      <c r="A42" s="50" t="s">
        <v>256</v>
      </c>
      <c r="B42" s="212" t="s">
        <v>257</v>
      </c>
      <c r="C42" s="52" t="s">
        <v>34</v>
      </c>
      <c r="D42" s="203">
        <f t="shared" si="0"/>
        <v>23.9</v>
      </c>
      <c r="E42" s="204">
        <v>23.9</v>
      </c>
      <c r="F42" s="207"/>
      <c r="G42" s="206"/>
    </row>
    <row r="43" spans="1:7" s="211" customFormat="1" ht="24.75" customHeight="1" x14ac:dyDescent="0.2">
      <c r="A43" s="50" t="s">
        <v>258</v>
      </c>
      <c r="B43" s="212" t="s">
        <v>259</v>
      </c>
      <c r="C43" s="52" t="s">
        <v>34</v>
      </c>
      <c r="D43" s="203">
        <f t="shared" si="0"/>
        <v>1.9</v>
      </c>
      <c r="E43" s="204">
        <v>1.9</v>
      </c>
      <c r="F43" s="207">
        <v>1.7050000000000001</v>
      </c>
      <c r="G43" s="206"/>
    </row>
    <row r="44" spans="1:7" s="211" customFormat="1" ht="24.75" customHeight="1" x14ac:dyDescent="0.2">
      <c r="A44" s="50" t="s">
        <v>260</v>
      </c>
      <c r="B44" s="212" t="s">
        <v>261</v>
      </c>
      <c r="C44" s="52" t="s">
        <v>23</v>
      </c>
      <c r="D44" s="203">
        <f t="shared" si="0"/>
        <v>0.40600000000000003</v>
      </c>
      <c r="E44" s="204">
        <v>0.40600000000000003</v>
      </c>
      <c r="F44" s="207"/>
      <c r="G44" s="206"/>
    </row>
    <row r="45" spans="1:7" s="211" customFormat="1" ht="24.75" customHeight="1" x14ac:dyDescent="0.2">
      <c r="A45" s="50" t="s">
        <v>262</v>
      </c>
      <c r="B45" s="212" t="s">
        <v>263</v>
      </c>
      <c r="C45" s="214" t="s">
        <v>23</v>
      </c>
      <c r="D45" s="203">
        <f t="shared" si="0"/>
        <v>1.64</v>
      </c>
      <c r="E45" s="204">
        <v>1.64</v>
      </c>
      <c r="F45" s="207"/>
      <c r="G45" s="206"/>
    </row>
    <row r="46" spans="1:7" s="211" customFormat="1" ht="30" customHeight="1" x14ac:dyDescent="0.2">
      <c r="A46" s="51" t="s">
        <v>123</v>
      </c>
      <c r="B46" s="37" t="s">
        <v>8</v>
      </c>
      <c r="C46" s="215" t="s">
        <v>24</v>
      </c>
      <c r="D46" s="197">
        <f>D48+D49</f>
        <v>15.702</v>
      </c>
      <c r="E46" s="198">
        <f>E48+E49</f>
        <v>15.702</v>
      </c>
      <c r="F46" s="199">
        <f>F48+F49</f>
        <v>0</v>
      </c>
      <c r="G46" s="200"/>
    </row>
    <row r="47" spans="1:7" s="211" customFormat="1" ht="12.75" customHeight="1" x14ac:dyDescent="0.2">
      <c r="A47" s="51"/>
      <c r="B47" s="6" t="s">
        <v>2</v>
      </c>
      <c r="C47" s="216"/>
      <c r="D47" s="197"/>
      <c r="E47" s="198"/>
      <c r="F47" s="199"/>
      <c r="G47" s="200"/>
    </row>
    <row r="48" spans="1:7" s="211" customFormat="1" ht="30" customHeight="1" x14ac:dyDescent="0.2">
      <c r="A48" s="50" t="s">
        <v>124</v>
      </c>
      <c r="B48" s="6" t="s">
        <v>264</v>
      </c>
      <c r="C48" s="52" t="s">
        <v>24</v>
      </c>
      <c r="D48" s="203">
        <f>E48</f>
        <v>15</v>
      </c>
      <c r="E48" s="204">
        <v>15</v>
      </c>
      <c r="F48" s="207"/>
      <c r="G48" s="206"/>
    </row>
    <row r="49" spans="1:7" s="211" customFormat="1" ht="30" customHeight="1" x14ac:dyDescent="0.2">
      <c r="A49" s="50" t="s">
        <v>125</v>
      </c>
      <c r="B49" s="6" t="s">
        <v>242</v>
      </c>
      <c r="C49" s="52" t="s">
        <v>24</v>
      </c>
      <c r="D49" s="203">
        <f>E49</f>
        <v>0.70199999999999996</v>
      </c>
      <c r="E49" s="204">
        <v>0.70199999999999996</v>
      </c>
      <c r="F49" s="207"/>
      <c r="G49" s="206"/>
    </row>
    <row r="50" spans="1:7" s="211" customFormat="1" ht="30" customHeight="1" x14ac:dyDescent="0.2">
      <c r="A50" s="51" t="s">
        <v>136</v>
      </c>
      <c r="B50" s="37" t="s">
        <v>153</v>
      </c>
      <c r="C50" s="215" t="s">
        <v>24</v>
      </c>
      <c r="D50" s="197">
        <f>D52+D53</f>
        <v>34.56</v>
      </c>
      <c r="E50" s="198">
        <f>E52+E53</f>
        <v>34.56</v>
      </c>
      <c r="F50" s="199">
        <f>F52+F53</f>
        <v>0</v>
      </c>
      <c r="G50" s="200"/>
    </row>
    <row r="51" spans="1:7" s="211" customFormat="1" ht="12.75" customHeight="1" x14ac:dyDescent="0.2">
      <c r="A51" s="51"/>
      <c r="B51" s="6" t="s">
        <v>2</v>
      </c>
      <c r="C51" s="216"/>
      <c r="D51" s="197"/>
      <c r="E51" s="198"/>
      <c r="F51" s="199"/>
      <c r="G51" s="200"/>
    </row>
    <row r="52" spans="1:7" s="211" customFormat="1" ht="27" customHeight="1" x14ac:dyDescent="0.2">
      <c r="A52" s="50" t="s">
        <v>27</v>
      </c>
      <c r="B52" s="6" t="s">
        <v>264</v>
      </c>
      <c r="C52" s="52" t="s">
        <v>24</v>
      </c>
      <c r="D52" s="203">
        <f>E52</f>
        <v>33</v>
      </c>
      <c r="E52" s="204">
        <v>33</v>
      </c>
      <c r="F52" s="207"/>
      <c r="G52" s="206"/>
    </row>
    <row r="53" spans="1:7" s="211" customFormat="1" ht="27" customHeight="1" x14ac:dyDescent="0.2">
      <c r="A53" s="50" t="s">
        <v>50</v>
      </c>
      <c r="B53" s="6" t="s">
        <v>242</v>
      </c>
      <c r="C53" s="52" t="s">
        <v>24</v>
      </c>
      <c r="D53" s="203">
        <f>E53</f>
        <v>1.56</v>
      </c>
      <c r="E53" s="204">
        <v>1.56</v>
      </c>
      <c r="F53" s="207"/>
      <c r="G53" s="206"/>
    </row>
    <row r="54" spans="1:7" s="211" customFormat="1" ht="27" customHeight="1" x14ac:dyDescent="0.2">
      <c r="A54" s="51" t="s">
        <v>139</v>
      </c>
      <c r="B54" s="37" t="s">
        <v>154</v>
      </c>
      <c r="C54" s="215" t="s">
        <v>24</v>
      </c>
      <c r="D54" s="197">
        <f>D56+D57</f>
        <v>51.886000000000003</v>
      </c>
      <c r="E54" s="198">
        <f>E56+E57</f>
        <v>51.886000000000003</v>
      </c>
      <c r="F54" s="199">
        <f>F56+F57</f>
        <v>0</v>
      </c>
      <c r="G54" s="200"/>
    </row>
    <row r="55" spans="1:7" s="211" customFormat="1" ht="12.75" customHeight="1" x14ac:dyDescent="0.2">
      <c r="A55" s="51"/>
      <c r="B55" s="6" t="s">
        <v>2</v>
      </c>
      <c r="C55" s="216"/>
      <c r="D55" s="197"/>
      <c r="E55" s="198"/>
      <c r="F55" s="199"/>
      <c r="G55" s="200"/>
    </row>
    <row r="56" spans="1:7" s="211" customFormat="1" ht="30" customHeight="1" x14ac:dyDescent="0.2">
      <c r="A56" s="50" t="s">
        <v>28</v>
      </c>
      <c r="B56" s="6" t="s">
        <v>264</v>
      </c>
      <c r="C56" s="52" t="s">
        <v>24</v>
      </c>
      <c r="D56" s="203">
        <f>E56</f>
        <v>49</v>
      </c>
      <c r="E56" s="204">
        <v>49</v>
      </c>
      <c r="F56" s="207"/>
      <c r="G56" s="206"/>
    </row>
    <row r="57" spans="1:7" s="211" customFormat="1" ht="30" customHeight="1" x14ac:dyDescent="0.2">
      <c r="A57" s="50" t="s">
        <v>29</v>
      </c>
      <c r="B57" s="6" t="s">
        <v>242</v>
      </c>
      <c r="C57" s="52" t="s">
        <v>24</v>
      </c>
      <c r="D57" s="203">
        <f>E57</f>
        <v>2.8860000000000001</v>
      </c>
      <c r="E57" s="204">
        <v>2.8860000000000001</v>
      </c>
      <c r="F57" s="207"/>
      <c r="G57" s="206"/>
    </row>
    <row r="58" spans="1:7" s="211" customFormat="1" ht="27" customHeight="1" x14ac:dyDescent="0.2">
      <c r="A58" s="51" t="s">
        <v>138</v>
      </c>
      <c r="B58" s="37" t="s">
        <v>14</v>
      </c>
      <c r="C58" s="215" t="s">
        <v>24</v>
      </c>
      <c r="D58" s="197">
        <f>D60+D61</f>
        <v>32.481999999999999</v>
      </c>
      <c r="E58" s="198">
        <f>E60+E61</f>
        <v>32.481999999999999</v>
      </c>
      <c r="F58" s="199">
        <f>F60+F61</f>
        <v>0</v>
      </c>
      <c r="G58" s="200"/>
    </row>
    <row r="59" spans="1:7" s="211" customFormat="1" ht="12.75" customHeight="1" x14ac:dyDescent="0.2">
      <c r="A59" s="51"/>
      <c r="B59" s="6" t="s">
        <v>2</v>
      </c>
      <c r="C59" s="216"/>
      <c r="D59" s="197"/>
      <c r="E59" s="198"/>
      <c r="F59" s="199"/>
      <c r="G59" s="200"/>
    </row>
    <row r="60" spans="1:7" s="211" customFormat="1" ht="27" customHeight="1" x14ac:dyDescent="0.2">
      <c r="A60" s="50" t="s">
        <v>30</v>
      </c>
      <c r="B60" s="6" t="s">
        <v>264</v>
      </c>
      <c r="C60" s="52" t="s">
        <v>24</v>
      </c>
      <c r="D60" s="203">
        <f>E60</f>
        <v>31</v>
      </c>
      <c r="E60" s="204">
        <v>31</v>
      </c>
      <c r="F60" s="207"/>
      <c r="G60" s="206"/>
    </row>
    <row r="61" spans="1:7" s="211" customFormat="1" ht="27" customHeight="1" x14ac:dyDescent="0.2">
      <c r="A61" s="50" t="s">
        <v>54</v>
      </c>
      <c r="B61" s="6" t="s">
        <v>242</v>
      </c>
      <c r="C61" s="52" t="s">
        <v>24</v>
      </c>
      <c r="D61" s="203">
        <f>E61</f>
        <v>1.482</v>
      </c>
      <c r="E61" s="204">
        <v>1.482</v>
      </c>
      <c r="F61" s="207"/>
      <c r="G61" s="206"/>
    </row>
    <row r="62" spans="1:7" s="211" customFormat="1" ht="27" customHeight="1" x14ac:dyDescent="0.2">
      <c r="A62" s="51" t="s">
        <v>137</v>
      </c>
      <c r="B62" s="37" t="s">
        <v>15</v>
      </c>
      <c r="C62" s="215" t="s">
        <v>24</v>
      </c>
      <c r="D62" s="197">
        <f>D64+D65</f>
        <v>18.091999999999999</v>
      </c>
      <c r="E62" s="198">
        <f>E64+E65</f>
        <v>18.091999999999999</v>
      </c>
      <c r="F62" s="199">
        <f>F64+F65</f>
        <v>0</v>
      </c>
      <c r="G62" s="200"/>
    </row>
    <row r="63" spans="1:7" s="211" customFormat="1" ht="12.75" customHeight="1" x14ac:dyDescent="0.2">
      <c r="A63" s="51"/>
      <c r="B63" s="6" t="s">
        <v>2</v>
      </c>
      <c r="C63" s="216"/>
      <c r="D63" s="197"/>
      <c r="E63" s="198"/>
      <c r="F63" s="199"/>
      <c r="G63" s="200"/>
    </row>
    <row r="64" spans="1:7" s="211" customFormat="1" ht="27" customHeight="1" x14ac:dyDescent="0.2">
      <c r="A64" s="50" t="s">
        <v>56</v>
      </c>
      <c r="B64" s="6" t="s">
        <v>264</v>
      </c>
      <c r="C64" s="52" t="s">
        <v>24</v>
      </c>
      <c r="D64" s="203">
        <f>E64</f>
        <v>17</v>
      </c>
      <c r="E64" s="204">
        <v>17</v>
      </c>
      <c r="F64" s="207"/>
      <c r="G64" s="206"/>
    </row>
    <row r="65" spans="1:7" s="211" customFormat="1" ht="27" customHeight="1" x14ac:dyDescent="0.2">
      <c r="A65" s="50" t="s">
        <v>57</v>
      </c>
      <c r="B65" s="6" t="s">
        <v>242</v>
      </c>
      <c r="C65" s="52" t="s">
        <v>24</v>
      </c>
      <c r="D65" s="203">
        <f>E65</f>
        <v>1.0920000000000001</v>
      </c>
      <c r="E65" s="204">
        <v>1.0920000000000001</v>
      </c>
      <c r="F65" s="207"/>
      <c r="G65" s="206"/>
    </row>
    <row r="66" spans="1:7" s="211" customFormat="1" ht="26.25" customHeight="1" x14ac:dyDescent="0.2">
      <c r="A66" s="51" t="s">
        <v>98</v>
      </c>
      <c r="B66" s="37" t="s">
        <v>9</v>
      </c>
      <c r="C66" s="215" t="s">
        <v>24</v>
      </c>
      <c r="D66" s="197">
        <f>D68+D69</f>
        <v>6.0780000000000003</v>
      </c>
      <c r="E66" s="198">
        <f>E68+E69</f>
        <v>6.0780000000000003</v>
      </c>
      <c r="F66" s="199">
        <f>F68+F69</f>
        <v>0</v>
      </c>
      <c r="G66" s="200"/>
    </row>
    <row r="67" spans="1:7" s="211" customFormat="1" ht="12.75" customHeight="1" x14ac:dyDescent="0.2">
      <c r="A67" s="51"/>
      <c r="B67" s="6" t="s">
        <v>2</v>
      </c>
      <c r="C67" s="216"/>
      <c r="D67" s="197"/>
      <c r="E67" s="198"/>
      <c r="F67" s="199"/>
      <c r="G67" s="200"/>
    </row>
    <row r="68" spans="1:7" s="211" customFormat="1" ht="25.5" customHeight="1" x14ac:dyDescent="0.2">
      <c r="A68" s="50" t="s">
        <v>60</v>
      </c>
      <c r="B68" s="6" t="s">
        <v>264</v>
      </c>
      <c r="C68" s="52" t="s">
        <v>24</v>
      </c>
      <c r="D68" s="203">
        <f>E68</f>
        <v>6</v>
      </c>
      <c r="E68" s="204">
        <v>6</v>
      </c>
      <c r="F68" s="207"/>
      <c r="G68" s="206"/>
    </row>
    <row r="69" spans="1:7" s="211" customFormat="1" ht="25.5" customHeight="1" x14ac:dyDescent="0.2">
      <c r="A69" s="50" t="s">
        <v>61</v>
      </c>
      <c r="B69" s="6" t="s">
        <v>242</v>
      </c>
      <c r="C69" s="52" t="s">
        <v>24</v>
      </c>
      <c r="D69" s="203">
        <f>E69</f>
        <v>7.8E-2</v>
      </c>
      <c r="E69" s="204">
        <v>7.8E-2</v>
      </c>
      <c r="F69" s="207"/>
      <c r="G69" s="206"/>
    </row>
    <row r="70" spans="1:7" s="211" customFormat="1" ht="27.75" customHeight="1" x14ac:dyDescent="0.2">
      <c r="A70" s="51" t="s">
        <v>99</v>
      </c>
      <c r="B70" s="37" t="s">
        <v>10</v>
      </c>
      <c r="C70" s="215" t="s">
        <v>24</v>
      </c>
      <c r="D70" s="197">
        <f>D72+D73</f>
        <v>5.234</v>
      </c>
      <c r="E70" s="198">
        <f>E72+E73</f>
        <v>5.234</v>
      </c>
      <c r="F70" s="199">
        <f>F72+F73</f>
        <v>0</v>
      </c>
      <c r="G70" s="200"/>
    </row>
    <row r="71" spans="1:7" s="211" customFormat="1" ht="12.75" customHeight="1" x14ac:dyDescent="0.2">
      <c r="A71" s="51"/>
      <c r="B71" s="6" t="s">
        <v>2</v>
      </c>
      <c r="C71" s="216"/>
      <c r="D71" s="197"/>
      <c r="E71" s="198"/>
      <c r="F71" s="199"/>
      <c r="G71" s="200"/>
    </row>
    <row r="72" spans="1:7" s="211" customFormat="1" ht="26.25" customHeight="1" x14ac:dyDescent="0.2">
      <c r="A72" s="50" t="s">
        <v>63</v>
      </c>
      <c r="B72" s="6" t="s">
        <v>264</v>
      </c>
      <c r="C72" s="52" t="s">
        <v>24</v>
      </c>
      <c r="D72" s="203">
        <f>E72</f>
        <v>5</v>
      </c>
      <c r="E72" s="204">
        <v>5</v>
      </c>
      <c r="F72" s="207"/>
      <c r="G72" s="206"/>
    </row>
    <row r="73" spans="1:7" s="211" customFormat="1" ht="26.25" customHeight="1" x14ac:dyDescent="0.2">
      <c r="A73" s="50" t="s">
        <v>64</v>
      </c>
      <c r="B73" s="6" t="s">
        <v>242</v>
      </c>
      <c r="C73" s="52" t="s">
        <v>24</v>
      </c>
      <c r="D73" s="203">
        <f>E73</f>
        <v>0.23400000000000001</v>
      </c>
      <c r="E73" s="204">
        <v>0.23400000000000001</v>
      </c>
      <c r="F73" s="207"/>
      <c r="G73" s="206"/>
    </row>
    <row r="74" spans="1:7" s="211" customFormat="1" ht="27" customHeight="1" x14ac:dyDescent="0.2">
      <c r="A74" s="51" t="s">
        <v>159</v>
      </c>
      <c r="B74" s="37" t="s">
        <v>11</v>
      </c>
      <c r="C74" s="215" t="s">
        <v>24</v>
      </c>
      <c r="D74" s="197">
        <f>D76+D77</f>
        <v>4.9279999999999999</v>
      </c>
      <c r="E74" s="198">
        <f>E76+E77</f>
        <v>4.9279999999999999</v>
      </c>
      <c r="F74" s="199">
        <f>F76+F77</f>
        <v>0</v>
      </c>
      <c r="G74" s="200"/>
    </row>
    <row r="75" spans="1:7" s="211" customFormat="1" ht="12.75" customHeight="1" x14ac:dyDescent="0.2">
      <c r="A75" s="51"/>
      <c r="B75" s="6" t="s">
        <v>2</v>
      </c>
      <c r="C75" s="216"/>
      <c r="D75" s="197"/>
      <c r="E75" s="198"/>
      <c r="F75" s="199"/>
      <c r="G75" s="200"/>
    </row>
    <row r="76" spans="1:7" s="211" customFormat="1" ht="26.25" customHeight="1" x14ac:dyDescent="0.2">
      <c r="A76" s="50" t="s">
        <v>65</v>
      </c>
      <c r="B76" s="6" t="s">
        <v>264</v>
      </c>
      <c r="C76" s="52" t="s">
        <v>24</v>
      </c>
      <c r="D76" s="203">
        <f>E76</f>
        <v>4.8499999999999996</v>
      </c>
      <c r="E76" s="204">
        <v>4.8499999999999996</v>
      </c>
      <c r="F76" s="207"/>
      <c r="G76" s="206"/>
    </row>
    <row r="77" spans="1:7" s="211" customFormat="1" ht="26.25" customHeight="1" x14ac:dyDescent="0.2">
      <c r="A77" s="50" t="s">
        <v>66</v>
      </c>
      <c r="B77" s="6" t="s">
        <v>242</v>
      </c>
      <c r="C77" s="52" t="s">
        <v>24</v>
      </c>
      <c r="D77" s="203">
        <f>E77</f>
        <v>7.8E-2</v>
      </c>
      <c r="E77" s="204">
        <v>7.8E-2</v>
      </c>
      <c r="F77" s="207"/>
      <c r="G77" s="206"/>
    </row>
    <row r="78" spans="1:7" s="211" customFormat="1" ht="26.25" customHeight="1" x14ac:dyDescent="0.2">
      <c r="A78" s="51" t="s">
        <v>100</v>
      </c>
      <c r="B78" s="37" t="s">
        <v>12</v>
      </c>
      <c r="C78" s="215" t="s">
        <v>24</v>
      </c>
      <c r="D78" s="197">
        <f>D80+D81</f>
        <v>4.0780000000000003</v>
      </c>
      <c r="E78" s="198">
        <f>E80+E81</f>
        <v>4.0780000000000003</v>
      </c>
      <c r="F78" s="199">
        <f>F80+F81</f>
        <v>0</v>
      </c>
      <c r="G78" s="200"/>
    </row>
    <row r="79" spans="1:7" s="211" customFormat="1" ht="12.75" customHeight="1" x14ac:dyDescent="0.2">
      <c r="A79" s="51"/>
      <c r="B79" s="6" t="s">
        <v>2</v>
      </c>
      <c r="C79" s="216"/>
      <c r="D79" s="197"/>
      <c r="E79" s="198"/>
      <c r="F79" s="199"/>
      <c r="G79" s="200"/>
    </row>
    <row r="80" spans="1:7" s="211" customFormat="1" ht="23.25" customHeight="1" x14ac:dyDescent="0.2">
      <c r="A80" s="50" t="s">
        <v>67</v>
      </c>
      <c r="B80" s="6" t="s">
        <v>264</v>
      </c>
      <c r="C80" s="52" t="s">
        <v>24</v>
      </c>
      <c r="D80" s="203">
        <f>E80</f>
        <v>4</v>
      </c>
      <c r="E80" s="204">
        <v>4</v>
      </c>
      <c r="F80" s="207"/>
      <c r="G80" s="206"/>
    </row>
    <row r="81" spans="1:7" s="211" customFormat="1" ht="23.25" customHeight="1" x14ac:dyDescent="0.2">
      <c r="A81" s="50" t="s">
        <v>68</v>
      </c>
      <c r="B81" s="6" t="s">
        <v>242</v>
      </c>
      <c r="C81" s="52" t="s">
        <v>24</v>
      </c>
      <c r="D81" s="203">
        <f>E81</f>
        <v>7.8E-2</v>
      </c>
      <c r="E81" s="204">
        <v>7.8E-2</v>
      </c>
      <c r="F81" s="207"/>
      <c r="G81" s="206"/>
    </row>
    <row r="82" spans="1:7" s="211" customFormat="1" ht="21.75" customHeight="1" x14ac:dyDescent="0.2">
      <c r="A82" s="51" t="s">
        <v>101</v>
      </c>
      <c r="B82" s="37" t="s">
        <v>13</v>
      </c>
      <c r="C82" s="215" t="s">
        <v>24</v>
      </c>
      <c r="D82" s="197">
        <f>D84+D85</f>
        <v>5.0780000000000003</v>
      </c>
      <c r="E82" s="198">
        <f>E84+E85</f>
        <v>5.0780000000000003</v>
      </c>
      <c r="F82" s="199">
        <f>F84+F85</f>
        <v>0</v>
      </c>
      <c r="G82" s="200"/>
    </row>
    <row r="83" spans="1:7" s="211" customFormat="1" ht="12.75" customHeight="1" x14ac:dyDescent="0.2">
      <c r="A83" s="51"/>
      <c r="B83" s="6" t="s">
        <v>2</v>
      </c>
      <c r="C83" s="216"/>
      <c r="D83" s="197"/>
      <c r="E83" s="198"/>
      <c r="F83" s="199"/>
      <c r="G83" s="200"/>
    </row>
    <row r="84" spans="1:7" s="211" customFormat="1" ht="30" customHeight="1" x14ac:dyDescent="0.2">
      <c r="A84" s="50" t="s">
        <v>69</v>
      </c>
      <c r="B84" s="6" t="s">
        <v>264</v>
      </c>
      <c r="C84" s="52" t="s">
        <v>24</v>
      </c>
      <c r="D84" s="203">
        <f>E84</f>
        <v>5</v>
      </c>
      <c r="E84" s="204">
        <v>5</v>
      </c>
      <c r="F84" s="207"/>
      <c r="G84" s="206"/>
    </row>
    <row r="85" spans="1:7" s="211" customFormat="1" ht="30" customHeight="1" x14ac:dyDescent="0.2">
      <c r="A85" s="50" t="s">
        <v>70</v>
      </c>
      <c r="B85" s="6" t="s">
        <v>242</v>
      </c>
      <c r="C85" s="52" t="s">
        <v>24</v>
      </c>
      <c r="D85" s="203">
        <f>E85</f>
        <v>7.8E-2</v>
      </c>
      <c r="E85" s="204">
        <v>7.8E-2</v>
      </c>
      <c r="F85" s="207"/>
      <c r="G85" s="206"/>
    </row>
    <row r="86" spans="1:7" s="4" customFormat="1" ht="28.5" hidden="1" customHeight="1" x14ac:dyDescent="0.2">
      <c r="A86" s="51" t="s">
        <v>102</v>
      </c>
      <c r="B86" s="37" t="s">
        <v>148</v>
      </c>
      <c r="C86" s="217"/>
      <c r="D86" s="197"/>
      <c r="E86" s="198"/>
      <c r="F86" s="199"/>
      <c r="G86" s="200"/>
    </row>
    <row r="87" spans="1:7" s="4" customFormat="1" ht="12" hidden="1" customHeight="1" x14ac:dyDescent="0.2">
      <c r="A87" s="51"/>
      <c r="B87" s="6" t="s">
        <v>2</v>
      </c>
      <c r="C87" s="218"/>
      <c r="D87" s="219"/>
      <c r="E87" s="198"/>
      <c r="F87" s="199"/>
      <c r="G87" s="200"/>
    </row>
    <row r="88" spans="1:7" s="4" customFormat="1" ht="26.25" hidden="1" customHeight="1" x14ac:dyDescent="0.2">
      <c r="A88" s="50" t="s">
        <v>71</v>
      </c>
      <c r="B88" s="212" t="s">
        <v>249</v>
      </c>
      <c r="C88" s="52" t="s">
        <v>41</v>
      </c>
      <c r="D88" s="203"/>
      <c r="E88" s="204"/>
      <c r="F88" s="205"/>
      <c r="G88" s="206"/>
    </row>
    <row r="89" spans="1:7" s="4" customFormat="1" ht="25.5" customHeight="1" x14ac:dyDescent="0.2">
      <c r="A89" s="51" t="s">
        <v>102</v>
      </c>
      <c r="B89" s="37" t="s">
        <v>16</v>
      </c>
      <c r="C89" s="215" t="s">
        <v>24</v>
      </c>
      <c r="D89" s="197">
        <f>D91+D92</f>
        <v>609.15</v>
      </c>
      <c r="E89" s="198">
        <f>E91+E92</f>
        <v>609.15</v>
      </c>
      <c r="F89" s="199">
        <f>F91+F92</f>
        <v>551.66499999999996</v>
      </c>
      <c r="G89" s="200"/>
    </row>
    <row r="90" spans="1:7" s="4" customFormat="1" ht="12.75" x14ac:dyDescent="0.2">
      <c r="A90" s="51"/>
      <c r="B90" s="6" t="s">
        <v>2</v>
      </c>
      <c r="C90" s="216"/>
      <c r="D90" s="197"/>
      <c r="E90" s="198"/>
      <c r="F90" s="199"/>
      <c r="G90" s="200"/>
    </row>
    <row r="91" spans="1:7" ht="27" customHeight="1" x14ac:dyDescent="0.2">
      <c r="A91" s="50" t="s">
        <v>71</v>
      </c>
      <c r="B91" s="6" t="s">
        <v>265</v>
      </c>
      <c r="C91" s="52" t="s">
        <v>24</v>
      </c>
      <c r="D91" s="203">
        <f>E91</f>
        <v>347</v>
      </c>
      <c r="E91" s="204">
        <v>347</v>
      </c>
      <c r="F91" s="207">
        <v>333.815</v>
      </c>
      <c r="G91" s="206"/>
    </row>
    <row r="92" spans="1:7" ht="23.25" customHeight="1" x14ac:dyDescent="0.2">
      <c r="A92" s="50" t="s">
        <v>72</v>
      </c>
      <c r="B92" s="212" t="s">
        <v>245</v>
      </c>
      <c r="C92" s="52" t="s">
        <v>24</v>
      </c>
      <c r="D92" s="203">
        <f>E92</f>
        <v>262.14999999999998</v>
      </c>
      <c r="E92" s="213">
        <v>262.14999999999998</v>
      </c>
      <c r="F92" s="207">
        <v>217.85</v>
      </c>
      <c r="G92" s="206"/>
    </row>
    <row r="93" spans="1:7" s="4" customFormat="1" ht="28.5" customHeight="1" x14ac:dyDescent="0.2">
      <c r="A93" s="51" t="s">
        <v>103</v>
      </c>
      <c r="B93" s="37" t="s">
        <v>152</v>
      </c>
      <c r="C93" s="215" t="s">
        <v>24</v>
      </c>
      <c r="D93" s="197">
        <f>D95</f>
        <v>30.38</v>
      </c>
      <c r="E93" s="198">
        <f>E95</f>
        <v>30.38</v>
      </c>
      <c r="F93" s="199">
        <f>F95</f>
        <v>23.55</v>
      </c>
      <c r="G93" s="200"/>
    </row>
    <row r="94" spans="1:7" s="4" customFormat="1" ht="12" customHeight="1" x14ac:dyDescent="0.2">
      <c r="A94" s="51"/>
      <c r="B94" s="6" t="s">
        <v>2</v>
      </c>
      <c r="C94" s="218"/>
      <c r="D94" s="219"/>
      <c r="E94" s="198"/>
      <c r="F94" s="199"/>
      <c r="G94" s="200"/>
    </row>
    <row r="95" spans="1:7" s="4" customFormat="1" ht="26.25" customHeight="1" x14ac:dyDescent="0.2">
      <c r="A95" s="50" t="s">
        <v>73</v>
      </c>
      <c r="B95" s="212" t="s">
        <v>245</v>
      </c>
      <c r="C95" s="52" t="s">
        <v>24</v>
      </c>
      <c r="D95" s="220">
        <f>E95</f>
        <v>30.38</v>
      </c>
      <c r="E95" s="221">
        <v>30.38</v>
      </c>
      <c r="F95" s="222">
        <v>23.55</v>
      </c>
      <c r="G95" s="206"/>
    </row>
    <row r="96" spans="1:7" s="5" customFormat="1" ht="26.25" customHeight="1" thickBot="1" x14ac:dyDescent="0.25">
      <c r="A96" s="223"/>
      <c r="B96" s="224" t="s">
        <v>266</v>
      </c>
      <c r="C96" s="225"/>
      <c r="D96" s="226">
        <f>SUM(E96,G96)</f>
        <v>1490.326</v>
      </c>
      <c r="E96" s="227">
        <f>SUM(E89,E17,E93,E82,E78,E74,E70,E66,E62,E58,E54,E50,E46,E86)</f>
        <v>1490.326</v>
      </c>
      <c r="F96" s="228">
        <f>SUM(F89,F17,F93,F82,F78,F74,F70,F66,F62,F58,F54,F50,F46,F86)</f>
        <v>838.77399999999989</v>
      </c>
      <c r="G96" s="229"/>
    </row>
    <row r="97" spans="1:7" ht="12" customHeight="1" x14ac:dyDescent="0.2">
      <c r="A97" s="42"/>
      <c r="B97" s="230" t="s">
        <v>2</v>
      </c>
      <c r="C97" s="231"/>
      <c r="D97" s="232"/>
      <c r="E97" s="233"/>
      <c r="F97" s="234"/>
      <c r="G97" s="235"/>
    </row>
    <row r="98" spans="1:7" ht="24.75" customHeight="1" x14ac:dyDescent="0.2">
      <c r="A98" s="50"/>
      <c r="B98" s="236" t="s">
        <v>267</v>
      </c>
      <c r="C98" s="237"/>
      <c r="D98" s="238">
        <f>SUM(D19:D30,D32,D34,D36,D44,D45)</f>
        <v>160.93099999999998</v>
      </c>
      <c r="E98" s="239">
        <f>SUM(E19:E30,E32,E34,E36,E44,E45)</f>
        <v>160.93099999999998</v>
      </c>
      <c r="F98" s="239">
        <f>SUM(F19:F30,F32,F34,F36,F44,F45)</f>
        <v>146.06399999999999</v>
      </c>
      <c r="G98" s="240"/>
    </row>
    <row r="99" spans="1:7" ht="21.75" customHeight="1" x14ac:dyDescent="0.2">
      <c r="A99" s="50"/>
      <c r="B99" s="236" t="s">
        <v>268</v>
      </c>
      <c r="C99" s="237"/>
      <c r="D99" s="238">
        <f>SUM(D39,D92,D95,D91,D35,D33,D31,D56,D49,D53,D57,D60,D61,D64,D65,D77,D81,D48,D52,D68,D69,D72,D73,D76,D80,D84,D85)</f>
        <v>984.5949999999998</v>
      </c>
      <c r="E99" s="239">
        <f>SUM(E39,E92,E95,E91,E35,E33,E31,E56,E49,E53,E57,E60,E61,E64,E65,E77,E81,E48,E52,E68,E69,E72,E73,E76,E80,E84,E85)</f>
        <v>984.5949999999998</v>
      </c>
      <c r="F99" s="239">
        <f>SUM(F39,F92,F95,F91,F35,F33,F31,F46,F50,F54,F58,F62,F66,F70,F74,F78,F82)</f>
        <v>575.21500000000003</v>
      </c>
      <c r="G99" s="240"/>
    </row>
    <row r="100" spans="1:7" ht="25.5" customHeight="1" x14ac:dyDescent="0.2">
      <c r="A100" s="50"/>
      <c r="B100" s="236" t="s">
        <v>269</v>
      </c>
      <c r="C100" s="237"/>
      <c r="D100" s="238">
        <f>SUM(D40:D43)</f>
        <v>157.30000000000001</v>
      </c>
      <c r="E100" s="239">
        <f>SUM(E40:E43)</f>
        <v>157.30000000000001</v>
      </c>
      <c r="F100" s="239">
        <f>SUM(F40:F43)</f>
        <v>1.7050000000000001</v>
      </c>
      <c r="G100" s="240"/>
    </row>
    <row r="101" spans="1:7" ht="25.5" customHeight="1" thickBot="1" x14ac:dyDescent="0.25">
      <c r="A101" s="241"/>
      <c r="B101" s="242" t="s">
        <v>270</v>
      </c>
      <c r="C101" s="243"/>
      <c r="D101" s="244">
        <f>SUM(D38,D88,D37)</f>
        <v>187.5</v>
      </c>
      <c r="E101" s="245">
        <f>SUM(E38,E88,E37)</f>
        <v>187.5</v>
      </c>
      <c r="F101" s="245">
        <f>SUM(F38,F88,F37)</f>
        <v>115.78999999999999</v>
      </c>
      <c r="G101" s="246"/>
    </row>
    <row r="102" spans="1:7" x14ac:dyDescent="0.2">
      <c r="C102" s="247"/>
      <c r="D102" s="248"/>
      <c r="E102" s="248"/>
      <c r="F102" s="249"/>
      <c r="G102" s="249"/>
    </row>
    <row r="104" spans="1:7" hidden="1" x14ac:dyDescent="0.2">
      <c r="D104" s="8">
        <f>D96-D98-D99-D100-D101</f>
        <v>0</v>
      </c>
      <c r="E104" s="8">
        <f>E96-E98-E99-E100-E101</f>
        <v>0</v>
      </c>
      <c r="F104" s="8">
        <f>F96-F98-F99-F100-F101</f>
        <v>0</v>
      </c>
    </row>
  </sheetData>
  <sheetProtection algorithmName="SHA-512" hashValue="lkhb1FJ78g31QiJ0PwKHi0vZSIA/KwMgAqUTw/u1C9EPgnQ69vtUA8FdSH0iD0kO33g5xnQfTy3UE2i80BRGBg==" saltValue="0evKLaLTI0g8w3ewgLHXAg==" spinCount="100000" sheet="1" objects="1" scenarios="1"/>
  <mergeCells count="12">
    <mergeCell ref="E14:E15"/>
    <mergeCell ref="F14:F15"/>
    <mergeCell ref="B8:G8"/>
    <mergeCell ref="B9:G9"/>
    <mergeCell ref="A11:A15"/>
    <mergeCell ref="B11:B15"/>
    <mergeCell ref="C11:C15"/>
    <mergeCell ref="D11:D15"/>
    <mergeCell ref="E11:G11"/>
    <mergeCell ref="E12:G12"/>
    <mergeCell ref="E13:F13"/>
    <mergeCell ref="G13:G15"/>
  </mergeCells>
  <pageMargins left="0.7" right="0.7" top="0.75" bottom="0.75" header="0.3" footer="0.3"/>
  <pageSetup paperSize="9" scale="7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workbookViewId="0">
      <selection activeCell="L38" sqref="L38"/>
    </sheetView>
  </sheetViews>
  <sheetFormatPr defaultColWidth="9.28515625" defaultRowHeight="12" x14ac:dyDescent="0.2"/>
  <cols>
    <col min="1" max="1" width="5.85546875" style="181" customWidth="1"/>
    <col min="2" max="2" width="44.28515625" style="1" customWidth="1"/>
    <col min="3" max="3" width="8.28515625" style="13" customWidth="1"/>
    <col min="4" max="7" width="10.5703125" style="8" customWidth="1"/>
    <col min="8" max="16384" width="9.28515625" style="1"/>
  </cols>
  <sheetData>
    <row r="1" spans="1:7" x14ac:dyDescent="0.2">
      <c r="E1" s="8" t="s">
        <v>4</v>
      </c>
    </row>
    <row r="2" spans="1:7" x14ac:dyDescent="0.2">
      <c r="E2" s="8" t="s">
        <v>206</v>
      </c>
    </row>
    <row r="3" spans="1:7" hidden="1" x14ac:dyDescent="0.2">
      <c r="E3" s="8" t="s">
        <v>271</v>
      </c>
    </row>
    <row r="4" spans="1:7" hidden="1" x14ac:dyDescent="0.2">
      <c r="E4" s="8" t="s">
        <v>186</v>
      </c>
    </row>
    <row r="5" spans="1:7" x14ac:dyDescent="0.2">
      <c r="E5" s="8" t="s">
        <v>272</v>
      </c>
    </row>
    <row r="7" spans="1:7" ht="15.75" x14ac:dyDescent="0.25">
      <c r="B7" s="437" t="s">
        <v>273</v>
      </c>
      <c r="C7" s="437"/>
      <c r="D7" s="437"/>
      <c r="E7" s="437"/>
      <c r="F7" s="437"/>
      <c r="G7" s="437"/>
    </row>
    <row r="8" spans="1:7" ht="12.75" thickBot="1" x14ac:dyDescent="0.25">
      <c r="G8" s="14" t="s">
        <v>151</v>
      </c>
    </row>
    <row r="9" spans="1:7" s="2" customFormat="1" x14ac:dyDescent="0.2">
      <c r="A9" s="444" t="s">
        <v>6</v>
      </c>
      <c r="B9" s="441" t="s">
        <v>25</v>
      </c>
      <c r="C9" s="438" t="s">
        <v>212</v>
      </c>
      <c r="D9" s="466" t="s">
        <v>0</v>
      </c>
      <c r="E9" s="470" t="s">
        <v>274</v>
      </c>
      <c r="F9" s="471"/>
      <c r="G9" s="472"/>
    </row>
    <row r="10" spans="1:7" s="2" customFormat="1" x14ac:dyDescent="0.2">
      <c r="A10" s="445"/>
      <c r="B10" s="464"/>
      <c r="C10" s="439"/>
      <c r="D10" s="467"/>
      <c r="E10" s="473" t="s">
        <v>5</v>
      </c>
      <c r="F10" s="474"/>
      <c r="G10" s="475"/>
    </row>
    <row r="11" spans="1:7" s="3" customFormat="1" x14ac:dyDescent="0.2">
      <c r="A11" s="445"/>
      <c r="B11" s="442"/>
      <c r="C11" s="439"/>
      <c r="D11" s="468"/>
      <c r="E11" s="455" t="s">
        <v>1</v>
      </c>
      <c r="F11" s="456"/>
      <c r="G11" s="457" t="s">
        <v>39</v>
      </c>
    </row>
    <row r="12" spans="1:7" s="3" customFormat="1" ht="12" customHeight="1" x14ac:dyDescent="0.2">
      <c r="A12" s="445"/>
      <c r="B12" s="442"/>
      <c r="C12" s="439"/>
      <c r="D12" s="468"/>
      <c r="E12" s="460" t="s">
        <v>0</v>
      </c>
      <c r="F12" s="431" t="s">
        <v>38</v>
      </c>
      <c r="G12" s="458"/>
    </row>
    <row r="13" spans="1:7" ht="27" customHeight="1" thickBot="1" x14ac:dyDescent="0.25">
      <c r="A13" s="446"/>
      <c r="B13" s="465"/>
      <c r="C13" s="440"/>
      <c r="D13" s="469"/>
      <c r="E13" s="477"/>
      <c r="F13" s="476"/>
      <c r="G13" s="459"/>
    </row>
    <row r="14" spans="1:7" x14ac:dyDescent="0.2">
      <c r="A14" s="31">
        <v>1</v>
      </c>
      <c r="B14" s="187">
        <v>2</v>
      </c>
      <c r="C14" s="32">
        <v>3</v>
      </c>
      <c r="D14" s="250">
        <v>4</v>
      </c>
      <c r="E14" s="33">
        <v>5</v>
      </c>
      <c r="F14" s="34">
        <v>6</v>
      </c>
      <c r="G14" s="35">
        <v>7</v>
      </c>
    </row>
    <row r="15" spans="1:7" ht="21.75" customHeight="1" x14ac:dyDescent="0.2">
      <c r="A15" s="51" t="s">
        <v>122</v>
      </c>
      <c r="B15" s="37" t="s">
        <v>275</v>
      </c>
      <c r="C15" s="251" t="s">
        <v>26</v>
      </c>
      <c r="D15" s="252">
        <f>E15+G15</f>
        <v>35.6</v>
      </c>
      <c r="E15" s="253">
        <f>SUM(E17:E18)</f>
        <v>35.6</v>
      </c>
      <c r="F15" s="254">
        <f>SUM(F17:F18)</f>
        <v>35.090000000000003</v>
      </c>
      <c r="G15" s="255"/>
    </row>
    <row r="16" spans="1:7" ht="21.75" customHeight="1" x14ac:dyDescent="0.2">
      <c r="A16" s="50"/>
      <c r="B16" s="15" t="s">
        <v>276</v>
      </c>
      <c r="C16" s="52"/>
      <c r="D16" s="256"/>
      <c r="E16" s="204"/>
      <c r="F16" s="205"/>
      <c r="G16" s="257"/>
    </row>
    <row r="17" spans="1:7" ht="21.75" customHeight="1" x14ac:dyDescent="0.2">
      <c r="A17" s="50" t="s">
        <v>22</v>
      </c>
      <c r="B17" s="15" t="s">
        <v>277</v>
      </c>
      <c r="C17" s="52" t="s">
        <v>26</v>
      </c>
      <c r="D17" s="258">
        <f>E17+G17</f>
        <v>4.3</v>
      </c>
      <c r="E17" s="204">
        <v>4.3</v>
      </c>
      <c r="F17" s="205">
        <v>4.24</v>
      </c>
      <c r="G17" s="257"/>
    </row>
    <row r="18" spans="1:7" ht="21.75" customHeight="1" x14ac:dyDescent="0.2">
      <c r="A18" s="50" t="s">
        <v>22</v>
      </c>
      <c r="B18" s="15" t="s">
        <v>278</v>
      </c>
      <c r="C18" s="52" t="s">
        <v>26</v>
      </c>
      <c r="D18" s="258">
        <f>E18+G18</f>
        <v>31.3</v>
      </c>
      <c r="E18" s="204">
        <v>31.3</v>
      </c>
      <c r="F18" s="205">
        <v>30.85</v>
      </c>
      <c r="G18" s="257"/>
    </row>
    <row r="19" spans="1:7" s="4" customFormat="1" ht="21.75" customHeight="1" x14ac:dyDescent="0.2">
      <c r="A19" s="51" t="s">
        <v>123</v>
      </c>
      <c r="B19" s="43" t="s">
        <v>8</v>
      </c>
      <c r="C19" s="251" t="s">
        <v>26</v>
      </c>
      <c r="D19" s="252">
        <f>E19+G19</f>
        <v>585.05999999999995</v>
      </c>
      <c r="E19" s="253">
        <v>585.05999999999995</v>
      </c>
      <c r="F19" s="254">
        <v>565.47</v>
      </c>
      <c r="G19" s="259"/>
    </row>
    <row r="20" spans="1:7" s="4" customFormat="1" ht="12.75" hidden="1" x14ac:dyDescent="0.2">
      <c r="A20" s="50"/>
      <c r="B20" s="15" t="s">
        <v>276</v>
      </c>
      <c r="C20" s="251"/>
      <c r="D20" s="252"/>
      <c r="E20" s="253"/>
      <c r="F20" s="254"/>
      <c r="G20" s="259"/>
    </row>
    <row r="21" spans="1:7" s="4" customFormat="1" ht="25.5" hidden="1" x14ac:dyDescent="0.2">
      <c r="A21" s="50" t="s">
        <v>124</v>
      </c>
      <c r="B21" s="15" t="s">
        <v>277</v>
      </c>
      <c r="C21" s="52" t="s">
        <v>26</v>
      </c>
      <c r="D21" s="252"/>
      <c r="E21" s="253"/>
      <c r="F21" s="254"/>
      <c r="G21" s="259"/>
    </row>
    <row r="22" spans="1:7" ht="22.5" customHeight="1" x14ac:dyDescent="0.2">
      <c r="A22" s="51" t="s">
        <v>136</v>
      </c>
      <c r="B22" s="43" t="s">
        <v>153</v>
      </c>
      <c r="C22" s="251" t="s">
        <v>26</v>
      </c>
      <c r="D22" s="252">
        <f t="shared" ref="D22:D42" si="0">E22+G22</f>
        <v>739.27</v>
      </c>
      <c r="E22" s="253">
        <v>739.27</v>
      </c>
      <c r="F22" s="254">
        <v>711.96</v>
      </c>
      <c r="G22" s="259"/>
    </row>
    <row r="23" spans="1:7" ht="22.5" hidden="1" customHeight="1" x14ac:dyDescent="0.2">
      <c r="A23" s="50"/>
      <c r="B23" s="15" t="s">
        <v>276</v>
      </c>
      <c r="C23" s="251"/>
      <c r="D23" s="252"/>
      <c r="E23" s="253"/>
      <c r="F23" s="254"/>
      <c r="G23" s="259"/>
    </row>
    <row r="24" spans="1:7" ht="22.5" hidden="1" customHeight="1" x14ac:dyDescent="0.2">
      <c r="A24" s="50" t="s">
        <v>124</v>
      </c>
      <c r="B24" s="15" t="s">
        <v>277</v>
      </c>
      <c r="C24" s="52" t="s">
        <v>26</v>
      </c>
      <c r="D24" s="252"/>
      <c r="E24" s="253"/>
      <c r="F24" s="254"/>
      <c r="G24" s="259"/>
    </row>
    <row r="25" spans="1:7" ht="22.5" customHeight="1" x14ac:dyDescent="0.2">
      <c r="A25" s="51" t="s">
        <v>139</v>
      </c>
      <c r="B25" s="37" t="s">
        <v>154</v>
      </c>
      <c r="C25" s="251" t="s">
        <v>26</v>
      </c>
      <c r="D25" s="252">
        <f t="shared" si="0"/>
        <v>917.86</v>
      </c>
      <c r="E25" s="253">
        <v>917.86</v>
      </c>
      <c r="F25" s="254">
        <v>883.87</v>
      </c>
      <c r="G25" s="259"/>
    </row>
    <row r="26" spans="1:7" ht="22.5" hidden="1" customHeight="1" x14ac:dyDescent="0.2">
      <c r="A26" s="50"/>
      <c r="B26" s="15" t="s">
        <v>276</v>
      </c>
      <c r="C26" s="251"/>
      <c r="D26" s="252"/>
      <c r="E26" s="253"/>
      <c r="F26" s="254"/>
      <c r="G26" s="260"/>
    </row>
    <row r="27" spans="1:7" ht="22.5" hidden="1" customHeight="1" x14ac:dyDescent="0.2">
      <c r="A27" s="50" t="s">
        <v>27</v>
      </c>
      <c r="B27" s="6" t="s">
        <v>277</v>
      </c>
      <c r="C27" s="52" t="s">
        <v>26</v>
      </c>
      <c r="D27" s="252"/>
      <c r="E27" s="253"/>
      <c r="F27" s="254"/>
      <c r="G27" s="260"/>
    </row>
    <row r="28" spans="1:7" ht="22.5" customHeight="1" x14ac:dyDescent="0.2">
      <c r="A28" s="51" t="s">
        <v>138</v>
      </c>
      <c r="B28" s="37" t="s">
        <v>14</v>
      </c>
      <c r="C28" s="251" t="s">
        <v>26</v>
      </c>
      <c r="D28" s="252">
        <f t="shared" si="0"/>
        <v>985.73</v>
      </c>
      <c r="E28" s="253">
        <v>985.73</v>
      </c>
      <c r="F28" s="254">
        <v>953.76</v>
      </c>
      <c r="G28" s="261"/>
    </row>
    <row r="29" spans="1:7" ht="22.5" hidden="1" customHeight="1" x14ac:dyDescent="0.2">
      <c r="A29" s="50"/>
      <c r="B29" s="15" t="s">
        <v>276</v>
      </c>
      <c r="C29" s="251"/>
      <c r="D29" s="252"/>
      <c r="E29" s="253"/>
      <c r="F29" s="254"/>
      <c r="G29" s="261"/>
    </row>
    <row r="30" spans="1:7" ht="22.5" hidden="1" customHeight="1" x14ac:dyDescent="0.2">
      <c r="A30" s="50" t="s">
        <v>28</v>
      </c>
      <c r="B30" s="6" t="s">
        <v>277</v>
      </c>
      <c r="C30" s="52" t="s">
        <v>26</v>
      </c>
      <c r="D30" s="252"/>
      <c r="E30" s="253"/>
      <c r="F30" s="254"/>
      <c r="G30" s="261"/>
    </row>
    <row r="31" spans="1:7" ht="22.5" customHeight="1" x14ac:dyDescent="0.2">
      <c r="A31" s="51" t="s">
        <v>137</v>
      </c>
      <c r="B31" s="37" t="s">
        <v>15</v>
      </c>
      <c r="C31" s="251" t="s">
        <v>26</v>
      </c>
      <c r="D31" s="252">
        <f t="shared" si="0"/>
        <v>511.43</v>
      </c>
      <c r="E31" s="253">
        <v>511.43</v>
      </c>
      <c r="F31" s="254">
        <v>493.4</v>
      </c>
      <c r="G31" s="255"/>
    </row>
    <row r="32" spans="1:7" ht="22.5" hidden="1" customHeight="1" x14ac:dyDescent="0.2">
      <c r="A32" s="50"/>
      <c r="B32" s="15" t="s">
        <v>276</v>
      </c>
      <c r="C32" s="251"/>
      <c r="D32" s="252"/>
      <c r="E32" s="253"/>
      <c r="F32" s="254"/>
      <c r="G32" s="255"/>
    </row>
    <row r="33" spans="1:12" ht="22.5" hidden="1" customHeight="1" x14ac:dyDescent="0.2">
      <c r="A33" s="50" t="s">
        <v>30</v>
      </c>
      <c r="B33" s="6" t="s">
        <v>277</v>
      </c>
      <c r="C33" s="52" t="s">
        <v>26</v>
      </c>
      <c r="D33" s="252"/>
      <c r="E33" s="253"/>
      <c r="F33" s="254"/>
      <c r="G33" s="255"/>
    </row>
    <row r="34" spans="1:12" ht="22.5" customHeight="1" x14ac:dyDescent="0.2">
      <c r="A34" s="51" t="s">
        <v>98</v>
      </c>
      <c r="B34" s="37" t="s">
        <v>9</v>
      </c>
      <c r="C34" s="251" t="s">
        <v>26</v>
      </c>
      <c r="D34" s="252">
        <f t="shared" si="0"/>
        <v>282.20999999999998</v>
      </c>
      <c r="E34" s="253">
        <v>282.20999999999998</v>
      </c>
      <c r="F34" s="254">
        <v>269.55</v>
      </c>
      <c r="G34" s="259"/>
    </row>
    <row r="35" spans="1:12" s="211" customFormat="1" ht="22.5" customHeight="1" x14ac:dyDescent="0.2">
      <c r="A35" s="51" t="s">
        <v>99</v>
      </c>
      <c r="B35" s="37" t="s">
        <v>10</v>
      </c>
      <c r="C35" s="251" t="s">
        <v>26</v>
      </c>
      <c r="D35" s="252">
        <f t="shared" si="0"/>
        <v>168.04</v>
      </c>
      <c r="E35" s="253">
        <v>168.04</v>
      </c>
      <c r="F35" s="254">
        <v>161.09</v>
      </c>
      <c r="G35" s="259"/>
    </row>
    <row r="36" spans="1:12" s="211" customFormat="1" ht="22.5" customHeight="1" x14ac:dyDescent="0.2">
      <c r="A36" s="51" t="s">
        <v>159</v>
      </c>
      <c r="B36" s="37" t="s">
        <v>11</v>
      </c>
      <c r="C36" s="251" t="s">
        <v>26</v>
      </c>
      <c r="D36" s="252">
        <f t="shared" si="0"/>
        <v>224.12</v>
      </c>
      <c r="E36" s="253">
        <v>224.12</v>
      </c>
      <c r="F36" s="254">
        <v>213.97</v>
      </c>
      <c r="G36" s="259"/>
    </row>
    <row r="37" spans="1:12" s="211" customFormat="1" ht="22.5" customHeight="1" x14ac:dyDescent="0.2">
      <c r="A37" s="51" t="s">
        <v>100</v>
      </c>
      <c r="B37" s="37" t="s">
        <v>12</v>
      </c>
      <c r="C37" s="251" t="s">
        <v>26</v>
      </c>
      <c r="D37" s="252">
        <f t="shared" si="0"/>
        <v>235.42</v>
      </c>
      <c r="E37" s="253">
        <v>235.42</v>
      </c>
      <c r="F37" s="254">
        <v>224.8</v>
      </c>
      <c r="G37" s="259"/>
    </row>
    <row r="38" spans="1:12" s="211" customFormat="1" ht="22.5" customHeight="1" x14ac:dyDescent="0.2">
      <c r="A38" s="51" t="s">
        <v>101</v>
      </c>
      <c r="B38" s="37" t="s">
        <v>13</v>
      </c>
      <c r="C38" s="251" t="s">
        <v>26</v>
      </c>
      <c r="D38" s="252">
        <f t="shared" si="0"/>
        <v>235.3</v>
      </c>
      <c r="E38" s="253">
        <v>235.3</v>
      </c>
      <c r="F38" s="254">
        <v>223.29</v>
      </c>
      <c r="G38" s="259"/>
    </row>
    <row r="39" spans="1:12" s="262" customFormat="1" ht="22.5" customHeight="1" x14ac:dyDescent="0.2">
      <c r="A39" s="51" t="s">
        <v>102</v>
      </c>
      <c r="B39" s="37" t="s">
        <v>150</v>
      </c>
      <c r="C39" s="251" t="s">
        <v>26</v>
      </c>
      <c r="D39" s="252">
        <f t="shared" si="0"/>
        <v>9.41</v>
      </c>
      <c r="E39" s="253">
        <v>9.41</v>
      </c>
      <c r="F39" s="254">
        <v>9.2799999999999994</v>
      </c>
      <c r="G39" s="259"/>
      <c r="I39" s="263"/>
      <c r="J39" s="263"/>
      <c r="K39" s="264"/>
      <c r="L39" s="264"/>
    </row>
    <row r="40" spans="1:12" s="262" customFormat="1" ht="22.5" customHeight="1" x14ac:dyDescent="0.2">
      <c r="A40" s="51" t="s">
        <v>103</v>
      </c>
      <c r="B40" s="37" t="s">
        <v>97</v>
      </c>
      <c r="C40" s="251" t="s">
        <v>26</v>
      </c>
      <c r="D40" s="252">
        <f t="shared" si="0"/>
        <v>8.43</v>
      </c>
      <c r="E40" s="253">
        <v>8.43</v>
      </c>
      <c r="F40" s="254">
        <v>8.31</v>
      </c>
      <c r="G40" s="259"/>
      <c r="I40" s="263"/>
      <c r="J40" s="263"/>
      <c r="K40" s="264"/>
      <c r="L40" s="264"/>
    </row>
    <row r="41" spans="1:12" s="262" customFormat="1" ht="22.5" customHeight="1" x14ac:dyDescent="0.2">
      <c r="A41" s="51" t="s">
        <v>104</v>
      </c>
      <c r="B41" s="37" t="s">
        <v>279</v>
      </c>
      <c r="C41" s="251" t="s">
        <v>26</v>
      </c>
      <c r="D41" s="252">
        <f t="shared" si="0"/>
        <v>56.81</v>
      </c>
      <c r="E41" s="253">
        <v>56.81</v>
      </c>
      <c r="F41" s="254">
        <v>56</v>
      </c>
      <c r="G41" s="259"/>
      <c r="I41" s="263"/>
      <c r="J41" s="263"/>
      <c r="K41" s="264"/>
      <c r="L41" s="264"/>
    </row>
    <row r="42" spans="1:12" s="211" customFormat="1" ht="22.5" customHeight="1" thickBot="1" x14ac:dyDescent="0.25">
      <c r="A42" s="63" t="s">
        <v>105</v>
      </c>
      <c r="B42" s="57" t="s">
        <v>17</v>
      </c>
      <c r="C42" s="265" t="s">
        <v>32</v>
      </c>
      <c r="D42" s="266">
        <f t="shared" si="0"/>
        <v>15.81</v>
      </c>
      <c r="E42" s="267">
        <v>15.81</v>
      </c>
      <c r="F42" s="268">
        <v>15.58</v>
      </c>
      <c r="G42" s="269"/>
      <c r="I42" s="270"/>
      <c r="J42" s="270"/>
      <c r="K42" s="270"/>
      <c r="L42" s="270"/>
    </row>
    <row r="43" spans="1:12" s="5" customFormat="1" ht="13.5" thickBot="1" x14ac:dyDescent="0.25">
      <c r="A43" s="26"/>
      <c r="B43" s="27" t="s">
        <v>266</v>
      </c>
      <c r="C43" s="271"/>
      <c r="D43" s="272">
        <f>SUM(D15,D19:D42)</f>
        <v>5010.5000000000009</v>
      </c>
      <c r="E43" s="273">
        <f>SUM(E15,E19:E42)</f>
        <v>5010.5000000000009</v>
      </c>
      <c r="F43" s="274">
        <f>SUM(F15,F19:F42)</f>
        <v>4825.42</v>
      </c>
      <c r="G43" s="275"/>
    </row>
    <row r="44" spans="1:12" ht="12" customHeight="1" x14ac:dyDescent="0.2">
      <c r="A44" s="42"/>
      <c r="B44" s="230" t="s">
        <v>2</v>
      </c>
      <c r="C44" s="231"/>
      <c r="D44" s="276"/>
      <c r="E44" s="277"/>
      <c r="F44" s="278"/>
      <c r="G44" s="279"/>
    </row>
    <row r="45" spans="1:12" ht="12.75" x14ac:dyDescent="0.2">
      <c r="A45" s="50"/>
      <c r="B45" s="236" t="s">
        <v>280</v>
      </c>
      <c r="C45" s="237"/>
      <c r="D45" s="280">
        <f>SUM(D34:D41,D31,D28,D25,D22,D19,D15)</f>
        <v>4994.6900000000005</v>
      </c>
      <c r="E45" s="281">
        <f>SUM(E34:E41,E31,E28,E25,E22,E19,E15)</f>
        <v>4994.6900000000005</v>
      </c>
      <c r="F45" s="282">
        <f>SUM(F34:F41,F31,F28,F25,F22,F19,F15)</f>
        <v>4809.84</v>
      </c>
      <c r="G45" s="283"/>
    </row>
    <row r="46" spans="1:12" ht="13.5" thickBot="1" x14ac:dyDescent="0.25">
      <c r="A46" s="241"/>
      <c r="B46" s="242" t="s">
        <v>281</v>
      </c>
      <c r="C46" s="243"/>
      <c r="D46" s="284">
        <f>D42</f>
        <v>15.81</v>
      </c>
      <c r="E46" s="184">
        <f>E42</f>
        <v>15.81</v>
      </c>
      <c r="F46" s="185">
        <f>F42</f>
        <v>15.58</v>
      </c>
      <c r="G46" s="285"/>
    </row>
    <row r="47" spans="1:12" ht="12" customHeight="1" x14ac:dyDescent="0.2">
      <c r="C47" s="247"/>
      <c r="D47" s="286"/>
      <c r="E47" s="286"/>
    </row>
    <row r="48" spans="1:12" ht="12" customHeight="1" x14ac:dyDescent="0.2"/>
  </sheetData>
  <sheetProtection algorithmName="SHA-512" hashValue="S+iwB9QyuA0pC8+1MreD9ZQrz92SMEqASLK8CXL/qB5pYaBQ9hMNHDjdeChxa/H4EDiVKszJyhhwH4W2QiKi6Q==" saltValue="s080o7qJuMxyHe6KWczi4w==" spinCount="100000" sheet="1" objects="1" scenarios="1"/>
  <mergeCells count="11">
    <mergeCell ref="F12:F13"/>
    <mergeCell ref="B7:G7"/>
    <mergeCell ref="A9:A13"/>
    <mergeCell ref="B9:B13"/>
    <mergeCell ref="C9:C13"/>
    <mergeCell ref="D9:D13"/>
    <mergeCell ref="E9:G9"/>
    <mergeCell ref="E10:G10"/>
    <mergeCell ref="E11:F11"/>
    <mergeCell ref="G11:G13"/>
    <mergeCell ref="E12:E13"/>
  </mergeCells>
  <conditionalFormatting sqref="D17:D18 D19:G42">
    <cfRule type="cellIs" dxfId="32" priority="2" stopIfTrue="1" operator="equal">
      <formula>0</formula>
    </cfRule>
  </conditionalFormatting>
  <conditionalFormatting sqref="D15:G16 E17:G18">
    <cfRule type="cellIs" dxfId="31" priority="1" stopIfTrue="1" operator="equal">
      <formula>0</formula>
    </cfRule>
  </conditionalFormatting>
  <pageMargins left="0.7" right="0.7" top="0.75" bottom="0.75" header="0.3" footer="0.3"/>
  <pageSetup paperSize="9" scale="8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activeCell="D44" sqref="D44"/>
    </sheetView>
  </sheetViews>
  <sheetFormatPr defaultColWidth="9.28515625" defaultRowHeight="12" x14ac:dyDescent="0.2"/>
  <cols>
    <col min="1" max="1" width="5.85546875" style="181" customWidth="1"/>
    <col min="2" max="2" width="40.42578125" style="1" customWidth="1"/>
    <col min="3" max="3" width="6" style="13" customWidth="1"/>
    <col min="4" max="4" width="9.5703125" style="10" customWidth="1"/>
    <col min="5" max="5" width="9.7109375" style="10" customWidth="1"/>
    <col min="6" max="6" width="10.5703125" style="10" customWidth="1"/>
    <col min="7" max="7" width="9.140625" style="10" customWidth="1"/>
    <col min="8" max="9" width="9.7109375" style="10" customWidth="1"/>
    <col min="10" max="10" width="10.5703125" style="10" customWidth="1"/>
    <col min="11" max="11" width="9.140625" style="10" customWidth="1"/>
    <col min="12" max="256" width="9.28515625" style="1"/>
    <col min="257" max="257" width="5.85546875" style="1" customWidth="1"/>
    <col min="258" max="258" width="40.42578125" style="1" customWidth="1"/>
    <col min="259" max="259" width="6" style="1" customWidth="1"/>
    <col min="260" max="260" width="9.5703125" style="1" customWidth="1"/>
    <col min="261" max="261" width="9.7109375" style="1" customWidth="1"/>
    <col min="262" max="262" width="10.5703125" style="1" customWidth="1"/>
    <col min="263" max="263" width="9.140625" style="1" customWidth="1"/>
    <col min="264" max="265" width="9.7109375" style="1" customWidth="1"/>
    <col min="266" max="266" width="10.5703125" style="1" customWidth="1"/>
    <col min="267" max="267" width="9.140625" style="1" customWidth="1"/>
    <col min="268" max="512" width="9.28515625" style="1"/>
    <col min="513" max="513" width="5.85546875" style="1" customWidth="1"/>
    <col min="514" max="514" width="40.42578125" style="1" customWidth="1"/>
    <col min="515" max="515" width="6" style="1" customWidth="1"/>
    <col min="516" max="516" width="9.5703125" style="1" customWidth="1"/>
    <col min="517" max="517" width="9.7109375" style="1" customWidth="1"/>
    <col min="518" max="518" width="10.5703125" style="1" customWidth="1"/>
    <col min="519" max="519" width="9.140625" style="1" customWidth="1"/>
    <col min="520" max="521" width="9.7109375" style="1" customWidth="1"/>
    <col min="522" max="522" width="10.5703125" style="1" customWidth="1"/>
    <col min="523" max="523" width="9.140625" style="1" customWidth="1"/>
    <col min="524" max="768" width="9.28515625" style="1"/>
    <col min="769" max="769" width="5.85546875" style="1" customWidth="1"/>
    <col min="770" max="770" width="40.42578125" style="1" customWidth="1"/>
    <col min="771" max="771" width="6" style="1" customWidth="1"/>
    <col min="772" max="772" width="9.5703125" style="1" customWidth="1"/>
    <col min="773" max="773" width="9.7109375" style="1" customWidth="1"/>
    <col min="774" max="774" width="10.5703125" style="1" customWidth="1"/>
    <col min="775" max="775" width="9.140625" style="1" customWidth="1"/>
    <col min="776" max="777" width="9.7109375" style="1" customWidth="1"/>
    <col min="778" max="778" width="10.5703125" style="1" customWidth="1"/>
    <col min="779" max="779" width="9.140625" style="1" customWidth="1"/>
    <col min="780" max="1024" width="9.28515625" style="1"/>
    <col min="1025" max="1025" width="5.85546875" style="1" customWidth="1"/>
    <col min="1026" max="1026" width="40.42578125" style="1" customWidth="1"/>
    <col min="1027" max="1027" width="6" style="1" customWidth="1"/>
    <col min="1028" max="1028" width="9.5703125" style="1" customWidth="1"/>
    <col min="1029" max="1029" width="9.7109375" style="1" customWidth="1"/>
    <col min="1030" max="1030" width="10.5703125" style="1" customWidth="1"/>
    <col min="1031" max="1031" width="9.140625" style="1" customWidth="1"/>
    <col min="1032" max="1033" width="9.7109375" style="1" customWidth="1"/>
    <col min="1034" max="1034" width="10.5703125" style="1" customWidth="1"/>
    <col min="1035" max="1035" width="9.140625" style="1" customWidth="1"/>
    <col min="1036" max="1280" width="9.28515625" style="1"/>
    <col min="1281" max="1281" width="5.85546875" style="1" customWidth="1"/>
    <col min="1282" max="1282" width="40.42578125" style="1" customWidth="1"/>
    <col min="1283" max="1283" width="6" style="1" customWidth="1"/>
    <col min="1284" max="1284" width="9.5703125" style="1" customWidth="1"/>
    <col min="1285" max="1285" width="9.7109375" style="1" customWidth="1"/>
    <col min="1286" max="1286" width="10.5703125" style="1" customWidth="1"/>
    <col min="1287" max="1287" width="9.140625" style="1" customWidth="1"/>
    <col min="1288" max="1289" width="9.7109375" style="1" customWidth="1"/>
    <col min="1290" max="1290" width="10.5703125" style="1" customWidth="1"/>
    <col min="1291" max="1291" width="9.140625" style="1" customWidth="1"/>
    <col min="1292" max="1536" width="9.28515625" style="1"/>
    <col min="1537" max="1537" width="5.85546875" style="1" customWidth="1"/>
    <col min="1538" max="1538" width="40.42578125" style="1" customWidth="1"/>
    <col min="1539" max="1539" width="6" style="1" customWidth="1"/>
    <col min="1540" max="1540" width="9.5703125" style="1" customWidth="1"/>
    <col min="1541" max="1541" width="9.7109375" style="1" customWidth="1"/>
    <col min="1542" max="1542" width="10.5703125" style="1" customWidth="1"/>
    <col min="1543" max="1543" width="9.140625" style="1" customWidth="1"/>
    <col min="1544" max="1545" width="9.7109375" style="1" customWidth="1"/>
    <col min="1546" max="1546" width="10.5703125" style="1" customWidth="1"/>
    <col min="1547" max="1547" width="9.140625" style="1" customWidth="1"/>
    <col min="1548" max="1792" width="9.28515625" style="1"/>
    <col min="1793" max="1793" width="5.85546875" style="1" customWidth="1"/>
    <col min="1794" max="1794" width="40.42578125" style="1" customWidth="1"/>
    <col min="1795" max="1795" width="6" style="1" customWidth="1"/>
    <col min="1796" max="1796" width="9.5703125" style="1" customWidth="1"/>
    <col min="1797" max="1797" width="9.7109375" style="1" customWidth="1"/>
    <col min="1798" max="1798" width="10.5703125" style="1" customWidth="1"/>
    <col min="1799" max="1799" width="9.140625" style="1" customWidth="1"/>
    <col min="1800" max="1801" width="9.7109375" style="1" customWidth="1"/>
    <col min="1802" max="1802" width="10.5703125" style="1" customWidth="1"/>
    <col min="1803" max="1803" width="9.140625" style="1" customWidth="1"/>
    <col min="1804" max="2048" width="9.28515625" style="1"/>
    <col min="2049" max="2049" width="5.85546875" style="1" customWidth="1"/>
    <col min="2050" max="2050" width="40.42578125" style="1" customWidth="1"/>
    <col min="2051" max="2051" width="6" style="1" customWidth="1"/>
    <col min="2052" max="2052" width="9.5703125" style="1" customWidth="1"/>
    <col min="2053" max="2053" width="9.7109375" style="1" customWidth="1"/>
    <col min="2054" max="2054" width="10.5703125" style="1" customWidth="1"/>
    <col min="2055" max="2055" width="9.140625" style="1" customWidth="1"/>
    <col min="2056" max="2057" width="9.7109375" style="1" customWidth="1"/>
    <col min="2058" max="2058" width="10.5703125" style="1" customWidth="1"/>
    <col min="2059" max="2059" width="9.140625" style="1" customWidth="1"/>
    <col min="2060" max="2304" width="9.28515625" style="1"/>
    <col min="2305" max="2305" width="5.85546875" style="1" customWidth="1"/>
    <col min="2306" max="2306" width="40.42578125" style="1" customWidth="1"/>
    <col min="2307" max="2307" width="6" style="1" customWidth="1"/>
    <col min="2308" max="2308" width="9.5703125" style="1" customWidth="1"/>
    <col min="2309" max="2309" width="9.7109375" style="1" customWidth="1"/>
    <col min="2310" max="2310" width="10.5703125" style="1" customWidth="1"/>
    <col min="2311" max="2311" width="9.140625" style="1" customWidth="1"/>
    <col min="2312" max="2313" width="9.7109375" style="1" customWidth="1"/>
    <col min="2314" max="2314" width="10.5703125" style="1" customWidth="1"/>
    <col min="2315" max="2315" width="9.140625" style="1" customWidth="1"/>
    <col min="2316" max="2560" width="9.28515625" style="1"/>
    <col min="2561" max="2561" width="5.85546875" style="1" customWidth="1"/>
    <col min="2562" max="2562" width="40.42578125" style="1" customWidth="1"/>
    <col min="2563" max="2563" width="6" style="1" customWidth="1"/>
    <col min="2564" max="2564" width="9.5703125" style="1" customWidth="1"/>
    <col min="2565" max="2565" width="9.7109375" style="1" customWidth="1"/>
    <col min="2566" max="2566" width="10.5703125" style="1" customWidth="1"/>
    <col min="2567" max="2567" width="9.140625" style="1" customWidth="1"/>
    <col min="2568" max="2569" width="9.7109375" style="1" customWidth="1"/>
    <col min="2570" max="2570" width="10.5703125" style="1" customWidth="1"/>
    <col min="2571" max="2571" width="9.140625" style="1" customWidth="1"/>
    <col min="2572" max="2816" width="9.28515625" style="1"/>
    <col min="2817" max="2817" width="5.85546875" style="1" customWidth="1"/>
    <col min="2818" max="2818" width="40.42578125" style="1" customWidth="1"/>
    <col min="2819" max="2819" width="6" style="1" customWidth="1"/>
    <col min="2820" max="2820" width="9.5703125" style="1" customWidth="1"/>
    <col min="2821" max="2821" width="9.7109375" style="1" customWidth="1"/>
    <col min="2822" max="2822" width="10.5703125" style="1" customWidth="1"/>
    <col min="2823" max="2823" width="9.140625" style="1" customWidth="1"/>
    <col min="2824" max="2825" width="9.7109375" style="1" customWidth="1"/>
    <col min="2826" max="2826" width="10.5703125" style="1" customWidth="1"/>
    <col min="2827" max="2827" width="9.140625" style="1" customWidth="1"/>
    <col min="2828" max="3072" width="9.28515625" style="1"/>
    <col min="3073" max="3073" width="5.85546875" style="1" customWidth="1"/>
    <col min="3074" max="3074" width="40.42578125" style="1" customWidth="1"/>
    <col min="3075" max="3075" width="6" style="1" customWidth="1"/>
    <col min="3076" max="3076" width="9.5703125" style="1" customWidth="1"/>
    <col min="3077" max="3077" width="9.7109375" style="1" customWidth="1"/>
    <col min="3078" max="3078" width="10.5703125" style="1" customWidth="1"/>
    <col min="3079" max="3079" width="9.140625" style="1" customWidth="1"/>
    <col min="3080" max="3081" width="9.7109375" style="1" customWidth="1"/>
    <col min="3082" max="3082" width="10.5703125" style="1" customWidth="1"/>
    <col min="3083" max="3083" width="9.140625" style="1" customWidth="1"/>
    <col min="3084" max="3328" width="9.28515625" style="1"/>
    <col min="3329" max="3329" width="5.85546875" style="1" customWidth="1"/>
    <col min="3330" max="3330" width="40.42578125" style="1" customWidth="1"/>
    <col min="3331" max="3331" width="6" style="1" customWidth="1"/>
    <col min="3332" max="3332" width="9.5703125" style="1" customWidth="1"/>
    <col min="3333" max="3333" width="9.7109375" style="1" customWidth="1"/>
    <col min="3334" max="3334" width="10.5703125" style="1" customWidth="1"/>
    <col min="3335" max="3335" width="9.140625" style="1" customWidth="1"/>
    <col min="3336" max="3337" width="9.7109375" style="1" customWidth="1"/>
    <col min="3338" max="3338" width="10.5703125" style="1" customWidth="1"/>
    <col min="3339" max="3339" width="9.140625" style="1" customWidth="1"/>
    <col min="3340" max="3584" width="9.28515625" style="1"/>
    <col min="3585" max="3585" width="5.85546875" style="1" customWidth="1"/>
    <col min="3586" max="3586" width="40.42578125" style="1" customWidth="1"/>
    <col min="3587" max="3587" width="6" style="1" customWidth="1"/>
    <col min="3588" max="3588" width="9.5703125" style="1" customWidth="1"/>
    <col min="3589" max="3589" width="9.7109375" style="1" customWidth="1"/>
    <col min="3590" max="3590" width="10.5703125" style="1" customWidth="1"/>
    <col min="3591" max="3591" width="9.140625" style="1" customWidth="1"/>
    <col min="3592" max="3593" width="9.7109375" style="1" customWidth="1"/>
    <col min="3594" max="3594" width="10.5703125" style="1" customWidth="1"/>
    <col min="3595" max="3595" width="9.140625" style="1" customWidth="1"/>
    <col min="3596" max="3840" width="9.28515625" style="1"/>
    <col min="3841" max="3841" width="5.85546875" style="1" customWidth="1"/>
    <col min="3842" max="3842" width="40.42578125" style="1" customWidth="1"/>
    <col min="3843" max="3843" width="6" style="1" customWidth="1"/>
    <col min="3844" max="3844" width="9.5703125" style="1" customWidth="1"/>
    <col min="3845" max="3845" width="9.7109375" style="1" customWidth="1"/>
    <col min="3846" max="3846" width="10.5703125" style="1" customWidth="1"/>
    <col min="3847" max="3847" width="9.140625" style="1" customWidth="1"/>
    <col min="3848" max="3849" width="9.7109375" style="1" customWidth="1"/>
    <col min="3850" max="3850" width="10.5703125" style="1" customWidth="1"/>
    <col min="3851" max="3851" width="9.140625" style="1" customWidth="1"/>
    <col min="3852" max="4096" width="9.28515625" style="1"/>
    <col min="4097" max="4097" width="5.85546875" style="1" customWidth="1"/>
    <col min="4098" max="4098" width="40.42578125" style="1" customWidth="1"/>
    <col min="4099" max="4099" width="6" style="1" customWidth="1"/>
    <col min="4100" max="4100" width="9.5703125" style="1" customWidth="1"/>
    <col min="4101" max="4101" width="9.7109375" style="1" customWidth="1"/>
    <col min="4102" max="4102" width="10.5703125" style="1" customWidth="1"/>
    <col min="4103" max="4103" width="9.140625" style="1" customWidth="1"/>
    <col min="4104" max="4105" width="9.7109375" style="1" customWidth="1"/>
    <col min="4106" max="4106" width="10.5703125" style="1" customWidth="1"/>
    <col min="4107" max="4107" width="9.140625" style="1" customWidth="1"/>
    <col min="4108" max="4352" width="9.28515625" style="1"/>
    <col min="4353" max="4353" width="5.85546875" style="1" customWidth="1"/>
    <col min="4354" max="4354" width="40.42578125" style="1" customWidth="1"/>
    <col min="4355" max="4355" width="6" style="1" customWidth="1"/>
    <col min="4356" max="4356" width="9.5703125" style="1" customWidth="1"/>
    <col min="4357" max="4357" width="9.7109375" style="1" customWidth="1"/>
    <col min="4358" max="4358" width="10.5703125" style="1" customWidth="1"/>
    <col min="4359" max="4359" width="9.140625" style="1" customWidth="1"/>
    <col min="4360" max="4361" width="9.7109375" style="1" customWidth="1"/>
    <col min="4362" max="4362" width="10.5703125" style="1" customWidth="1"/>
    <col min="4363" max="4363" width="9.140625" style="1" customWidth="1"/>
    <col min="4364" max="4608" width="9.28515625" style="1"/>
    <col min="4609" max="4609" width="5.85546875" style="1" customWidth="1"/>
    <col min="4610" max="4610" width="40.42578125" style="1" customWidth="1"/>
    <col min="4611" max="4611" width="6" style="1" customWidth="1"/>
    <col min="4612" max="4612" width="9.5703125" style="1" customWidth="1"/>
    <col min="4613" max="4613" width="9.7109375" style="1" customWidth="1"/>
    <col min="4614" max="4614" width="10.5703125" style="1" customWidth="1"/>
    <col min="4615" max="4615" width="9.140625" style="1" customWidth="1"/>
    <col min="4616" max="4617" width="9.7109375" style="1" customWidth="1"/>
    <col min="4618" max="4618" width="10.5703125" style="1" customWidth="1"/>
    <col min="4619" max="4619" width="9.140625" style="1" customWidth="1"/>
    <col min="4620" max="4864" width="9.28515625" style="1"/>
    <col min="4865" max="4865" width="5.85546875" style="1" customWidth="1"/>
    <col min="4866" max="4866" width="40.42578125" style="1" customWidth="1"/>
    <col min="4867" max="4867" width="6" style="1" customWidth="1"/>
    <col min="4868" max="4868" width="9.5703125" style="1" customWidth="1"/>
    <col min="4869" max="4869" width="9.7109375" style="1" customWidth="1"/>
    <col min="4870" max="4870" width="10.5703125" style="1" customWidth="1"/>
    <col min="4871" max="4871" width="9.140625" style="1" customWidth="1"/>
    <col min="4872" max="4873" width="9.7109375" style="1" customWidth="1"/>
    <col min="4874" max="4874" width="10.5703125" style="1" customWidth="1"/>
    <col min="4875" max="4875" width="9.140625" style="1" customWidth="1"/>
    <col min="4876" max="5120" width="9.28515625" style="1"/>
    <col min="5121" max="5121" width="5.85546875" style="1" customWidth="1"/>
    <col min="5122" max="5122" width="40.42578125" style="1" customWidth="1"/>
    <col min="5123" max="5123" width="6" style="1" customWidth="1"/>
    <col min="5124" max="5124" width="9.5703125" style="1" customWidth="1"/>
    <col min="5125" max="5125" width="9.7109375" style="1" customWidth="1"/>
    <col min="5126" max="5126" width="10.5703125" style="1" customWidth="1"/>
    <col min="5127" max="5127" width="9.140625" style="1" customWidth="1"/>
    <col min="5128" max="5129" width="9.7109375" style="1" customWidth="1"/>
    <col min="5130" max="5130" width="10.5703125" style="1" customWidth="1"/>
    <col min="5131" max="5131" width="9.140625" style="1" customWidth="1"/>
    <col min="5132" max="5376" width="9.28515625" style="1"/>
    <col min="5377" max="5377" width="5.85546875" style="1" customWidth="1"/>
    <col min="5378" max="5378" width="40.42578125" style="1" customWidth="1"/>
    <col min="5379" max="5379" width="6" style="1" customWidth="1"/>
    <col min="5380" max="5380" width="9.5703125" style="1" customWidth="1"/>
    <col min="5381" max="5381" width="9.7109375" style="1" customWidth="1"/>
    <col min="5382" max="5382" width="10.5703125" style="1" customWidth="1"/>
    <col min="5383" max="5383" width="9.140625" style="1" customWidth="1"/>
    <col min="5384" max="5385" width="9.7109375" style="1" customWidth="1"/>
    <col min="5386" max="5386" width="10.5703125" style="1" customWidth="1"/>
    <col min="5387" max="5387" width="9.140625" style="1" customWidth="1"/>
    <col min="5388" max="5632" width="9.28515625" style="1"/>
    <col min="5633" max="5633" width="5.85546875" style="1" customWidth="1"/>
    <col min="5634" max="5634" width="40.42578125" style="1" customWidth="1"/>
    <col min="5635" max="5635" width="6" style="1" customWidth="1"/>
    <col min="5636" max="5636" width="9.5703125" style="1" customWidth="1"/>
    <col min="5637" max="5637" width="9.7109375" style="1" customWidth="1"/>
    <col min="5638" max="5638" width="10.5703125" style="1" customWidth="1"/>
    <col min="5639" max="5639" width="9.140625" style="1" customWidth="1"/>
    <col min="5640" max="5641" width="9.7109375" style="1" customWidth="1"/>
    <col min="5642" max="5642" width="10.5703125" style="1" customWidth="1"/>
    <col min="5643" max="5643" width="9.140625" style="1" customWidth="1"/>
    <col min="5644" max="5888" width="9.28515625" style="1"/>
    <col min="5889" max="5889" width="5.85546875" style="1" customWidth="1"/>
    <col min="5890" max="5890" width="40.42578125" style="1" customWidth="1"/>
    <col min="5891" max="5891" width="6" style="1" customWidth="1"/>
    <col min="5892" max="5892" width="9.5703125" style="1" customWidth="1"/>
    <col min="5893" max="5893" width="9.7109375" style="1" customWidth="1"/>
    <col min="5894" max="5894" width="10.5703125" style="1" customWidth="1"/>
    <col min="5895" max="5895" width="9.140625" style="1" customWidth="1"/>
    <col min="5896" max="5897" width="9.7109375" style="1" customWidth="1"/>
    <col min="5898" max="5898" width="10.5703125" style="1" customWidth="1"/>
    <col min="5899" max="5899" width="9.140625" style="1" customWidth="1"/>
    <col min="5900" max="6144" width="9.28515625" style="1"/>
    <col min="6145" max="6145" width="5.85546875" style="1" customWidth="1"/>
    <col min="6146" max="6146" width="40.42578125" style="1" customWidth="1"/>
    <col min="6147" max="6147" width="6" style="1" customWidth="1"/>
    <col min="6148" max="6148" width="9.5703125" style="1" customWidth="1"/>
    <col min="6149" max="6149" width="9.7109375" style="1" customWidth="1"/>
    <col min="6150" max="6150" width="10.5703125" style="1" customWidth="1"/>
    <col min="6151" max="6151" width="9.140625" style="1" customWidth="1"/>
    <col min="6152" max="6153" width="9.7109375" style="1" customWidth="1"/>
    <col min="6154" max="6154" width="10.5703125" style="1" customWidth="1"/>
    <col min="6155" max="6155" width="9.140625" style="1" customWidth="1"/>
    <col min="6156" max="6400" width="9.28515625" style="1"/>
    <col min="6401" max="6401" width="5.85546875" style="1" customWidth="1"/>
    <col min="6402" max="6402" width="40.42578125" style="1" customWidth="1"/>
    <col min="6403" max="6403" width="6" style="1" customWidth="1"/>
    <col min="6404" max="6404" width="9.5703125" style="1" customWidth="1"/>
    <col min="6405" max="6405" width="9.7109375" style="1" customWidth="1"/>
    <col min="6406" max="6406" width="10.5703125" style="1" customWidth="1"/>
    <col min="6407" max="6407" width="9.140625" style="1" customWidth="1"/>
    <col min="6408" max="6409" width="9.7109375" style="1" customWidth="1"/>
    <col min="6410" max="6410" width="10.5703125" style="1" customWidth="1"/>
    <col min="6411" max="6411" width="9.140625" style="1" customWidth="1"/>
    <col min="6412" max="6656" width="9.28515625" style="1"/>
    <col min="6657" max="6657" width="5.85546875" style="1" customWidth="1"/>
    <col min="6658" max="6658" width="40.42578125" style="1" customWidth="1"/>
    <col min="6659" max="6659" width="6" style="1" customWidth="1"/>
    <col min="6660" max="6660" width="9.5703125" style="1" customWidth="1"/>
    <col min="6661" max="6661" width="9.7109375" style="1" customWidth="1"/>
    <col min="6662" max="6662" width="10.5703125" style="1" customWidth="1"/>
    <col min="6663" max="6663" width="9.140625" style="1" customWidth="1"/>
    <col min="6664" max="6665" width="9.7109375" style="1" customWidth="1"/>
    <col min="6666" max="6666" width="10.5703125" style="1" customWidth="1"/>
    <col min="6667" max="6667" width="9.140625" style="1" customWidth="1"/>
    <col min="6668" max="6912" width="9.28515625" style="1"/>
    <col min="6913" max="6913" width="5.85546875" style="1" customWidth="1"/>
    <col min="6914" max="6914" width="40.42578125" style="1" customWidth="1"/>
    <col min="6915" max="6915" width="6" style="1" customWidth="1"/>
    <col min="6916" max="6916" width="9.5703125" style="1" customWidth="1"/>
    <col min="6917" max="6917" width="9.7109375" style="1" customWidth="1"/>
    <col min="6918" max="6918" width="10.5703125" style="1" customWidth="1"/>
    <col min="6919" max="6919" width="9.140625" style="1" customWidth="1"/>
    <col min="6920" max="6921" width="9.7109375" style="1" customWidth="1"/>
    <col min="6922" max="6922" width="10.5703125" style="1" customWidth="1"/>
    <col min="6923" max="6923" width="9.140625" style="1" customWidth="1"/>
    <col min="6924" max="7168" width="9.28515625" style="1"/>
    <col min="7169" max="7169" width="5.85546875" style="1" customWidth="1"/>
    <col min="7170" max="7170" width="40.42578125" style="1" customWidth="1"/>
    <col min="7171" max="7171" width="6" style="1" customWidth="1"/>
    <col min="7172" max="7172" width="9.5703125" style="1" customWidth="1"/>
    <col min="7173" max="7173" width="9.7109375" style="1" customWidth="1"/>
    <col min="7174" max="7174" width="10.5703125" style="1" customWidth="1"/>
    <col min="7175" max="7175" width="9.140625" style="1" customWidth="1"/>
    <col min="7176" max="7177" width="9.7109375" style="1" customWidth="1"/>
    <col min="7178" max="7178" width="10.5703125" style="1" customWidth="1"/>
    <col min="7179" max="7179" width="9.140625" style="1" customWidth="1"/>
    <col min="7180" max="7424" width="9.28515625" style="1"/>
    <col min="7425" max="7425" width="5.85546875" style="1" customWidth="1"/>
    <col min="7426" max="7426" width="40.42578125" style="1" customWidth="1"/>
    <col min="7427" max="7427" width="6" style="1" customWidth="1"/>
    <col min="7428" max="7428" width="9.5703125" style="1" customWidth="1"/>
    <col min="7429" max="7429" width="9.7109375" style="1" customWidth="1"/>
    <col min="7430" max="7430" width="10.5703125" style="1" customWidth="1"/>
    <col min="7431" max="7431" width="9.140625" style="1" customWidth="1"/>
    <col min="7432" max="7433" width="9.7109375" style="1" customWidth="1"/>
    <col min="7434" max="7434" width="10.5703125" style="1" customWidth="1"/>
    <col min="7435" max="7435" width="9.140625" style="1" customWidth="1"/>
    <col min="7436" max="7680" width="9.28515625" style="1"/>
    <col min="7681" max="7681" width="5.85546875" style="1" customWidth="1"/>
    <col min="7682" max="7682" width="40.42578125" style="1" customWidth="1"/>
    <col min="7683" max="7683" width="6" style="1" customWidth="1"/>
    <col min="7684" max="7684" width="9.5703125" style="1" customWidth="1"/>
    <col min="7685" max="7685" width="9.7109375" style="1" customWidth="1"/>
    <col min="7686" max="7686" width="10.5703125" style="1" customWidth="1"/>
    <col min="7687" max="7687" width="9.140625" style="1" customWidth="1"/>
    <col min="7688" max="7689" width="9.7109375" style="1" customWidth="1"/>
    <col min="7690" max="7690" width="10.5703125" style="1" customWidth="1"/>
    <col min="7691" max="7691" width="9.140625" style="1" customWidth="1"/>
    <col min="7692" max="7936" width="9.28515625" style="1"/>
    <col min="7937" max="7937" width="5.85546875" style="1" customWidth="1"/>
    <col min="7938" max="7938" width="40.42578125" style="1" customWidth="1"/>
    <col min="7939" max="7939" width="6" style="1" customWidth="1"/>
    <col min="7940" max="7940" width="9.5703125" style="1" customWidth="1"/>
    <col min="7941" max="7941" width="9.7109375" style="1" customWidth="1"/>
    <col min="7942" max="7942" width="10.5703125" style="1" customWidth="1"/>
    <col min="7943" max="7943" width="9.140625" style="1" customWidth="1"/>
    <col min="7944" max="7945" width="9.7109375" style="1" customWidth="1"/>
    <col min="7946" max="7946" width="10.5703125" style="1" customWidth="1"/>
    <col min="7947" max="7947" width="9.140625" style="1" customWidth="1"/>
    <col min="7948" max="8192" width="9.28515625" style="1"/>
    <col min="8193" max="8193" width="5.85546875" style="1" customWidth="1"/>
    <col min="8194" max="8194" width="40.42578125" style="1" customWidth="1"/>
    <col min="8195" max="8195" width="6" style="1" customWidth="1"/>
    <col min="8196" max="8196" width="9.5703125" style="1" customWidth="1"/>
    <col min="8197" max="8197" width="9.7109375" style="1" customWidth="1"/>
    <col min="8198" max="8198" width="10.5703125" style="1" customWidth="1"/>
    <col min="8199" max="8199" width="9.140625" style="1" customWidth="1"/>
    <col min="8200" max="8201" width="9.7109375" style="1" customWidth="1"/>
    <col min="8202" max="8202" width="10.5703125" style="1" customWidth="1"/>
    <col min="8203" max="8203" width="9.140625" style="1" customWidth="1"/>
    <col min="8204" max="8448" width="9.28515625" style="1"/>
    <col min="8449" max="8449" width="5.85546875" style="1" customWidth="1"/>
    <col min="8450" max="8450" width="40.42578125" style="1" customWidth="1"/>
    <col min="8451" max="8451" width="6" style="1" customWidth="1"/>
    <col min="8452" max="8452" width="9.5703125" style="1" customWidth="1"/>
    <col min="8453" max="8453" width="9.7109375" style="1" customWidth="1"/>
    <col min="8454" max="8454" width="10.5703125" style="1" customWidth="1"/>
    <col min="8455" max="8455" width="9.140625" style="1" customWidth="1"/>
    <col min="8456" max="8457" width="9.7109375" style="1" customWidth="1"/>
    <col min="8458" max="8458" width="10.5703125" style="1" customWidth="1"/>
    <col min="8459" max="8459" width="9.140625" style="1" customWidth="1"/>
    <col min="8460" max="8704" width="9.28515625" style="1"/>
    <col min="8705" max="8705" width="5.85546875" style="1" customWidth="1"/>
    <col min="8706" max="8706" width="40.42578125" style="1" customWidth="1"/>
    <col min="8707" max="8707" width="6" style="1" customWidth="1"/>
    <col min="8708" max="8708" width="9.5703125" style="1" customWidth="1"/>
    <col min="8709" max="8709" width="9.7109375" style="1" customWidth="1"/>
    <col min="8710" max="8710" width="10.5703125" style="1" customWidth="1"/>
    <col min="8711" max="8711" width="9.140625" style="1" customWidth="1"/>
    <col min="8712" max="8713" width="9.7109375" style="1" customWidth="1"/>
    <col min="8714" max="8714" width="10.5703125" style="1" customWidth="1"/>
    <col min="8715" max="8715" width="9.140625" style="1" customWidth="1"/>
    <col min="8716" max="8960" width="9.28515625" style="1"/>
    <col min="8961" max="8961" width="5.85546875" style="1" customWidth="1"/>
    <col min="8962" max="8962" width="40.42578125" style="1" customWidth="1"/>
    <col min="8963" max="8963" width="6" style="1" customWidth="1"/>
    <col min="8964" max="8964" width="9.5703125" style="1" customWidth="1"/>
    <col min="8965" max="8965" width="9.7109375" style="1" customWidth="1"/>
    <col min="8966" max="8966" width="10.5703125" style="1" customWidth="1"/>
    <col min="8967" max="8967" width="9.140625" style="1" customWidth="1"/>
    <col min="8968" max="8969" width="9.7109375" style="1" customWidth="1"/>
    <col min="8970" max="8970" width="10.5703125" style="1" customWidth="1"/>
    <col min="8971" max="8971" width="9.140625" style="1" customWidth="1"/>
    <col min="8972" max="9216" width="9.28515625" style="1"/>
    <col min="9217" max="9217" width="5.85546875" style="1" customWidth="1"/>
    <col min="9218" max="9218" width="40.42578125" style="1" customWidth="1"/>
    <col min="9219" max="9219" width="6" style="1" customWidth="1"/>
    <col min="9220" max="9220" width="9.5703125" style="1" customWidth="1"/>
    <col min="9221" max="9221" width="9.7109375" style="1" customWidth="1"/>
    <col min="9222" max="9222" width="10.5703125" style="1" customWidth="1"/>
    <col min="9223" max="9223" width="9.140625" style="1" customWidth="1"/>
    <col min="9224" max="9225" width="9.7109375" style="1" customWidth="1"/>
    <col min="9226" max="9226" width="10.5703125" style="1" customWidth="1"/>
    <col min="9227" max="9227" width="9.140625" style="1" customWidth="1"/>
    <col min="9228" max="9472" width="9.28515625" style="1"/>
    <col min="9473" max="9473" width="5.85546875" style="1" customWidth="1"/>
    <col min="9474" max="9474" width="40.42578125" style="1" customWidth="1"/>
    <col min="9475" max="9475" width="6" style="1" customWidth="1"/>
    <col min="9476" max="9476" width="9.5703125" style="1" customWidth="1"/>
    <col min="9477" max="9477" width="9.7109375" style="1" customWidth="1"/>
    <col min="9478" max="9478" width="10.5703125" style="1" customWidth="1"/>
    <col min="9479" max="9479" width="9.140625" style="1" customWidth="1"/>
    <col min="9480" max="9481" width="9.7109375" style="1" customWidth="1"/>
    <col min="9482" max="9482" width="10.5703125" style="1" customWidth="1"/>
    <col min="9483" max="9483" width="9.140625" style="1" customWidth="1"/>
    <col min="9484" max="9728" width="9.28515625" style="1"/>
    <col min="9729" max="9729" width="5.85546875" style="1" customWidth="1"/>
    <col min="9730" max="9730" width="40.42578125" style="1" customWidth="1"/>
    <col min="9731" max="9731" width="6" style="1" customWidth="1"/>
    <col min="9732" max="9732" width="9.5703125" style="1" customWidth="1"/>
    <col min="9733" max="9733" width="9.7109375" style="1" customWidth="1"/>
    <col min="9734" max="9734" width="10.5703125" style="1" customWidth="1"/>
    <col min="9735" max="9735" width="9.140625" style="1" customWidth="1"/>
    <col min="9736" max="9737" width="9.7109375" style="1" customWidth="1"/>
    <col min="9738" max="9738" width="10.5703125" style="1" customWidth="1"/>
    <col min="9739" max="9739" width="9.140625" style="1" customWidth="1"/>
    <col min="9740" max="9984" width="9.28515625" style="1"/>
    <col min="9985" max="9985" width="5.85546875" style="1" customWidth="1"/>
    <col min="9986" max="9986" width="40.42578125" style="1" customWidth="1"/>
    <col min="9987" max="9987" width="6" style="1" customWidth="1"/>
    <col min="9988" max="9988" width="9.5703125" style="1" customWidth="1"/>
    <col min="9989" max="9989" width="9.7109375" style="1" customWidth="1"/>
    <col min="9990" max="9990" width="10.5703125" style="1" customWidth="1"/>
    <col min="9991" max="9991" width="9.140625" style="1" customWidth="1"/>
    <col min="9992" max="9993" width="9.7109375" style="1" customWidth="1"/>
    <col min="9994" max="9994" width="10.5703125" style="1" customWidth="1"/>
    <col min="9995" max="9995" width="9.140625" style="1" customWidth="1"/>
    <col min="9996" max="10240" width="9.28515625" style="1"/>
    <col min="10241" max="10241" width="5.85546875" style="1" customWidth="1"/>
    <col min="10242" max="10242" width="40.42578125" style="1" customWidth="1"/>
    <col min="10243" max="10243" width="6" style="1" customWidth="1"/>
    <col min="10244" max="10244" width="9.5703125" style="1" customWidth="1"/>
    <col min="10245" max="10245" width="9.7109375" style="1" customWidth="1"/>
    <col min="10246" max="10246" width="10.5703125" style="1" customWidth="1"/>
    <col min="10247" max="10247" width="9.140625" style="1" customWidth="1"/>
    <col min="10248" max="10249" width="9.7109375" style="1" customWidth="1"/>
    <col min="10250" max="10250" width="10.5703125" style="1" customWidth="1"/>
    <col min="10251" max="10251" width="9.140625" style="1" customWidth="1"/>
    <col min="10252" max="10496" width="9.28515625" style="1"/>
    <col min="10497" max="10497" width="5.85546875" style="1" customWidth="1"/>
    <col min="10498" max="10498" width="40.42578125" style="1" customWidth="1"/>
    <col min="10499" max="10499" width="6" style="1" customWidth="1"/>
    <col min="10500" max="10500" width="9.5703125" style="1" customWidth="1"/>
    <col min="10501" max="10501" width="9.7109375" style="1" customWidth="1"/>
    <col min="10502" max="10502" width="10.5703125" style="1" customWidth="1"/>
    <col min="10503" max="10503" width="9.140625" style="1" customWidth="1"/>
    <col min="10504" max="10505" width="9.7109375" style="1" customWidth="1"/>
    <col min="10506" max="10506" width="10.5703125" style="1" customWidth="1"/>
    <col min="10507" max="10507" width="9.140625" style="1" customWidth="1"/>
    <col min="10508" max="10752" width="9.28515625" style="1"/>
    <col min="10753" max="10753" width="5.85546875" style="1" customWidth="1"/>
    <col min="10754" max="10754" width="40.42578125" style="1" customWidth="1"/>
    <col min="10755" max="10755" width="6" style="1" customWidth="1"/>
    <col min="10756" max="10756" width="9.5703125" style="1" customWidth="1"/>
    <col min="10757" max="10757" width="9.7109375" style="1" customWidth="1"/>
    <col min="10758" max="10758" width="10.5703125" style="1" customWidth="1"/>
    <col min="10759" max="10759" width="9.140625" style="1" customWidth="1"/>
    <col min="10760" max="10761" width="9.7109375" style="1" customWidth="1"/>
    <col min="10762" max="10762" width="10.5703125" style="1" customWidth="1"/>
    <col min="10763" max="10763" width="9.140625" style="1" customWidth="1"/>
    <col min="10764" max="11008" width="9.28515625" style="1"/>
    <col min="11009" max="11009" width="5.85546875" style="1" customWidth="1"/>
    <col min="11010" max="11010" width="40.42578125" style="1" customWidth="1"/>
    <col min="11011" max="11011" width="6" style="1" customWidth="1"/>
    <col min="11012" max="11012" width="9.5703125" style="1" customWidth="1"/>
    <col min="11013" max="11013" width="9.7109375" style="1" customWidth="1"/>
    <col min="11014" max="11014" width="10.5703125" style="1" customWidth="1"/>
    <col min="11015" max="11015" width="9.140625" style="1" customWidth="1"/>
    <col min="11016" max="11017" width="9.7109375" style="1" customWidth="1"/>
    <col min="11018" max="11018" width="10.5703125" style="1" customWidth="1"/>
    <col min="11019" max="11019" width="9.140625" style="1" customWidth="1"/>
    <col min="11020" max="11264" width="9.28515625" style="1"/>
    <col min="11265" max="11265" width="5.85546875" style="1" customWidth="1"/>
    <col min="11266" max="11266" width="40.42578125" style="1" customWidth="1"/>
    <col min="11267" max="11267" width="6" style="1" customWidth="1"/>
    <col min="11268" max="11268" width="9.5703125" style="1" customWidth="1"/>
    <col min="11269" max="11269" width="9.7109375" style="1" customWidth="1"/>
    <col min="11270" max="11270" width="10.5703125" style="1" customWidth="1"/>
    <col min="11271" max="11271" width="9.140625" style="1" customWidth="1"/>
    <col min="11272" max="11273" width="9.7109375" style="1" customWidth="1"/>
    <col min="11274" max="11274" width="10.5703125" style="1" customWidth="1"/>
    <col min="11275" max="11275" width="9.140625" style="1" customWidth="1"/>
    <col min="11276" max="11520" width="9.28515625" style="1"/>
    <col min="11521" max="11521" width="5.85546875" style="1" customWidth="1"/>
    <col min="11522" max="11522" width="40.42578125" style="1" customWidth="1"/>
    <col min="11523" max="11523" width="6" style="1" customWidth="1"/>
    <col min="11524" max="11524" width="9.5703125" style="1" customWidth="1"/>
    <col min="11525" max="11525" width="9.7109375" style="1" customWidth="1"/>
    <col min="11526" max="11526" width="10.5703125" style="1" customWidth="1"/>
    <col min="11527" max="11527" width="9.140625" style="1" customWidth="1"/>
    <col min="11528" max="11529" width="9.7109375" style="1" customWidth="1"/>
    <col min="11530" max="11530" width="10.5703125" style="1" customWidth="1"/>
    <col min="11531" max="11531" width="9.140625" style="1" customWidth="1"/>
    <col min="11532" max="11776" width="9.28515625" style="1"/>
    <col min="11777" max="11777" width="5.85546875" style="1" customWidth="1"/>
    <col min="11778" max="11778" width="40.42578125" style="1" customWidth="1"/>
    <col min="11779" max="11779" width="6" style="1" customWidth="1"/>
    <col min="11780" max="11780" width="9.5703125" style="1" customWidth="1"/>
    <col min="11781" max="11781" width="9.7109375" style="1" customWidth="1"/>
    <col min="11782" max="11782" width="10.5703125" style="1" customWidth="1"/>
    <col min="11783" max="11783" width="9.140625" style="1" customWidth="1"/>
    <col min="11784" max="11785" width="9.7109375" style="1" customWidth="1"/>
    <col min="11786" max="11786" width="10.5703125" style="1" customWidth="1"/>
    <col min="11787" max="11787" width="9.140625" style="1" customWidth="1"/>
    <col min="11788" max="12032" width="9.28515625" style="1"/>
    <col min="12033" max="12033" width="5.85546875" style="1" customWidth="1"/>
    <col min="12034" max="12034" width="40.42578125" style="1" customWidth="1"/>
    <col min="12035" max="12035" width="6" style="1" customWidth="1"/>
    <col min="12036" max="12036" width="9.5703125" style="1" customWidth="1"/>
    <col min="12037" max="12037" width="9.7109375" style="1" customWidth="1"/>
    <col min="12038" max="12038" width="10.5703125" style="1" customWidth="1"/>
    <col min="12039" max="12039" width="9.140625" style="1" customWidth="1"/>
    <col min="12040" max="12041" width="9.7109375" style="1" customWidth="1"/>
    <col min="12042" max="12042" width="10.5703125" style="1" customWidth="1"/>
    <col min="12043" max="12043" width="9.140625" style="1" customWidth="1"/>
    <col min="12044" max="12288" width="9.28515625" style="1"/>
    <col min="12289" max="12289" width="5.85546875" style="1" customWidth="1"/>
    <col min="12290" max="12290" width="40.42578125" style="1" customWidth="1"/>
    <col min="12291" max="12291" width="6" style="1" customWidth="1"/>
    <col min="12292" max="12292" width="9.5703125" style="1" customWidth="1"/>
    <col min="12293" max="12293" width="9.7109375" style="1" customWidth="1"/>
    <col min="12294" max="12294" width="10.5703125" style="1" customWidth="1"/>
    <col min="12295" max="12295" width="9.140625" style="1" customWidth="1"/>
    <col min="12296" max="12297" width="9.7109375" style="1" customWidth="1"/>
    <col min="12298" max="12298" width="10.5703125" style="1" customWidth="1"/>
    <col min="12299" max="12299" width="9.140625" style="1" customWidth="1"/>
    <col min="12300" max="12544" width="9.28515625" style="1"/>
    <col min="12545" max="12545" width="5.85546875" style="1" customWidth="1"/>
    <col min="12546" max="12546" width="40.42578125" style="1" customWidth="1"/>
    <col min="12547" max="12547" width="6" style="1" customWidth="1"/>
    <col min="12548" max="12548" width="9.5703125" style="1" customWidth="1"/>
    <col min="12549" max="12549" width="9.7109375" style="1" customWidth="1"/>
    <col min="12550" max="12550" width="10.5703125" style="1" customWidth="1"/>
    <col min="12551" max="12551" width="9.140625" style="1" customWidth="1"/>
    <col min="12552" max="12553" width="9.7109375" style="1" customWidth="1"/>
    <col min="12554" max="12554" width="10.5703125" style="1" customWidth="1"/>
    <col min="12555" max="12555" width="9.140625" style="1" customWidth="1"/>
    <col min="12556" max="12800" width="9.28515625" style="1"/>
    <col min="12801" max="12801" width="5.85546875" style="1" customWidth="1"/>
    <col min="12802" max="12802" width="40.42578125" style="1" customWidth="1"/>
    <col min="12803" max="12803" width="6" style="1" customWidth="1"/>
    <col min="12804" max="12804" width="9.5703125" style="1" customWidth="1"/>
    <col min="12805" max="12805" width="9.7109375" style="1" customWidth="1"/>
    <col min="12806" max="12806" width="10.5703125" style="1" customWidth="1"/>
    <col min="12807" max="12807" width="9.140625" style="1" customWidth="1"/>
    <col min="12808" max="12809" width="9.7109375" style="1" customWidth="1"/>
    <col min="12810" max="12810" width="10.5703125" style="1" customWidth="1"/>
    <col min="12811" max="12811" width="9.140625" style="1" customWidth="1"/>
    <col min="12812" max="13056" width="9.28515625" style="1"/>
    <col min="13057" max="13057" width="5.85546875" style="1" customWidth="1"/>
    <col min="13058" max="13058" width="40.42578125" style="1" customWidth="1"/>
    <col min="13059" max="13059" width="6" style="1" customWidth="1"/>
    <col min="13060" max="13060" width="9.5703125" style="1" customWidth="1"/>
    <col min="13061" max="13061" width="9.7109375" style="1" customWidth="1"/>
    <col min="13062" max="13062" width="10.5703125" style="1" customWidth="1"/>
    <col min="13063" max="13063" width="9.140625" style="1" customWidth="1"/>
    <col min="13064" max="13065" width="9.7109375" style="1" customWidth="1"/>
    <col min="13066" max="13066" width="10.5703125" style="1" customWidth="1"/>
    <col min="13067" max="13067" width="9.140625" style="1" customWidth="1"/>
    <col min="13068" max="13312" width="9.28515625" style="1"/>
    <col min="13313" max="13313" width="5.85546875" style="1" customWidth="1"/>
    <col min="13314" max="13314" width="40.42578125" style="1" customWidth="1"/>
    <col min="13315" max="13315" width="6" style="1" customWidth="1"/>
    <col min="13316" max="13316" width="9.5703125" style="1" customWidth="1"/>
    <col min="13317" max="13317" width="9.7109375" style="1" customWidth="1"/>
    <col min="13318" max="13318" width="10.5703125" style="1" customWidth="1"/>
    <col min="13319" max="13319" width="9.140625" style="1" customWidth="1"/>
    <col min="13320" max="13321" width="9.7109375" style="1" customWidth="1"/>
    <col min="13322" max="13322" width="10.5703125" style="1" customWidth="1"/>
    <col min="13323" max="13323" width="9.140625" style="1" customWidth="1"/>
    <col min="13324" max="13568" width="9.28515625" style="1"/>
    <col min="13569" max="13569" width="5.85546875" style="1" customWidth="1"/>
    <col min="13570" max="13570" width="40.42578125" style="1" customWidth="1"/>
    <col min="13571" max="13571" width="6" style="1" customWidth="1"/>
    <col min="13572" max="13572" width="9.5703125" style="1" customWidth="1"/>
    <col min="13573" max="13573" width="9.7109375" style="1" customWidth="1"/>
    <col min="13574" max="13574" width="10.5703125" style="1" customWidth="1"/>
    <col min="13575" max="13575" width="9.140625" style="1" customWidth="1"/>
    <col min="13576" max="13577" width="9.7109375" style="1" customWidth="1"/>
    <col min="13578" max="13578" width="10.5703125" style="1" customWidth="1"/>
    <col min="13579" max="13579" width="9.140625" style="1" customWidth="1"/>
    <col min="13580" max="13824" width="9.28515625" style="1"/>
    <col min="13825" max="13825" width="5.85546875" style="1" customWidth="1"/>
    <col min="13826" max="13826" width="40.42578125" style="1" customWidth="1"/>
    <col min="13827" max="13827" width="6" style="1" customWidth="1"/>
    <col min="13828" max="13828" width="9.5703125" style="1" customWidth="1"/>
    <col min="13829" max="13829" width="9.7109375" style="1" customWidth="1"/>
    <col min="13830" max="13830" width="10.5703125" style="1" customWidth="1"/>
    <col min="13831" max="13831" width="9.140625" style="1" customWidth="1"/>
    <col min="13832" max="13833" width="9.7109375" style="1" customWidth="1"/>
    <col min="13834" max="13834" width="10.5703125" style="1" customWidth="1"/>
    <col min="13835" max="13835" width="9.140625" style="1" customWidth="1"/>
    <col min="13836" max="14080" width="9.28515625" style="1"/>
    <col min="14081" max="14081" width="5.85546875" style="1" customWidth="1"/>
    <col min="14082" max="14082" width="40.42578125" style="1" customWidth="1"/>
    <col min="14083" max="14083" width="6" style="1" customWidth="1"/>
    <col min="14084" max="14084" width="9.5703125" style="1" customWidth="1"/>
    <col min="14085" max="14085" width="9.7109375" style="1" customWidth="1"/>
    <col min="14086" max="14086" width="10.5703125" style="1" customWidth="1"/>
    <col min="14087" max="14087" width="9.140625" style="1" customWidth="1"/>
    <col min="14088" max="14089" width="9.7109375" style="1" customWidth="1"/>
    <col min="14090" max="14090" width="10.5703125" style="1" customWidth="1"/>
    <col min="14091" max="14091" width="9.140625" style="1" customWidth="1"/>
    <col min="14092" max="14336" width="9.28515625" style="1"/>
    <col min="14337" max="14337" width="5.85546875" style="1" customWidth="1"/>
    <col min="14338" max="14338" width="40.42578125" style="1" customWidth="1"/>
    <col min="14339" max="14339" width="6" style="1" customWidth="1"/>
    <col min="14340" max="14340" width="9.5703125" style="1" customWidth="1"/>
    <col min="14341" max="14341" width="9.7109375" style="1" customWidth="1"/>
    <col min="14342" max="14342" width="10.5703125" style="1" customWidth="1"/>
    <col min="14343" max="14343" width="9.140625" style="1" customWidth="1"/>
    <col min="14344" max="14345" width="9.7109375" style="1" customWidth="1"/>
    <col min="14346" max="14346" width="10.5703125" style="1" customWidth="1"/>
    <col min="14347" max="14347" width="9.140625" style="1" customWidth="1"/>
    <col min="14348" max="14592" width="9.28515625" style="1"/>
    <col min="14593" max="14593" width="5.85546875" style="1" customWidth="1"/>
    <col min="14594" max="14594" width="40.42578125" style="1" customWidth="1"/>
    <col min="14595" max="14595" width="6" style="1" customWidth="1"/>
    <col min="14596" max="14596" width="9.5703125" style="1" customWidth="1"/>
    <col min="14597" max="14597" width="9.7109375" style="1" customWidth="1"/>
    <col min="14598" max="14598" width="10.5703125" style="1" customWidth="1"/>
    <col min="14599" max="14599" width="9.140625" style="1" customWidth="1"/>
    <col min="14600" max="14601" width="9.7109375" style="1" customWidth="1"/>
    <col min="14602" max="14602" width="10.5703125" style="1" customWidth="1"/>
    <col min="14603" max="14603" width="9.140625" style="1" customWidth="1"/>
    <col min="14604" max="14848" width="9.28515625" style="1"/>
    <col min="14849" max="14849" width="5.85546875" style="1" customWidth="1"/>
    <col min="14850" max="14850" width="40.42578125" style="1" customWidth="1"/>
    <col min="14851" max="14851" width="6" style="1" customWidth="1"/>
    <col min="14852" max="14852" width="9.5703125" style="1" customWidth="1"/>
    <col min="14853" max="14853" width="9.7109375" style="1" customWidth="1"/>
    <col min="14854" max="14854" width="10.5703125" style="1" customWidth="1"/>
    <col min="14855" max="14855" width="9.140625" style="1" customWidth="1"/>
    <col min="14856" max="14857" width="9.7109375" style="1" customWidth="1"/>
    <col min="14858" max="14858" width="10.5703125" style="1" customWidth="1"/>
    <col min="14859" max="14859" width="9.140625" style="1" customWidth="1"/>
    <col min="14860" max="15104" width="9.28515625" style="1"/>
    <col min="15105" max="15105" width="5.85546875" style="1" customWidth="1"/>
    <col min="15106" max="15106" width="40.42578125" style="1" customWidth="1"/>
    <col min="15107" max="15107" width="6" style="1" customWidth="1"/>
    <col min="15108" max="15108" width="9.5703125" style="1" customWidth="1"/>
    <col min="15109" max="15109" width="9.7109375" style="1" customWidth="1"/>
    <col min="15110" max="15110" width="10.5703125" style="1" customWidth="1"/>
    <col min="15111" max="15111" width="9.140625" style="1" customWidth="1"/>
    <col min="15112" max="15113" width="9.7109375" style="1" customWidth="1"/>
    <col min="15114" max="15114" width="10.5703125" style="1" customWidth="1"/>
    <col min="15115" max="15115" width="9.140625" style="1" customWidth="1"/>
    <col min="15116" max="15360" width="9.28515625" style="1"/>
    <col min="15361" max="15361" width="5.85546875" style="1" customWidth="1"/>
    <col min="15362" max="15362" width="40.42578125" style="1" customWidth="1"/>
    <col min="15363" max="15363" width="6" style="1" customWidth="1"/>
    <col min="15364" max="15364" width="9.5703125" style="1" customWidth="1"/>
    <col min="15365" max="15365" width="9.7109375" style="1" customWidth="1"/>
    <col min="15366" max="15366" width="10.5703125" style="1" customWidth="1"/>
    <col min="15367" max="15367" width="9.140625" style="1" customWidth="1"/>
    <col min="15368" max="15369" width="9.7109375" style="1" customWidth="1"/>
    <col min="15370" max="15370" width="10.5703125" style="1" customWidth="1"/>
    <col min="15371" max="15371" width="9.140625" style="1" customWidth="1"/>
    <col min="15372" max="15616" width="9.28515625" style="1"/>
    <col min="15617" max="15617" width="5.85546875" style="1" customWidth="1"/>
    <col min="15618" max="15618" width="40.42578125" style="1" customWidth="1"/>
    <col min="15619" max="15619" width="6" style="1" customWidth="1"/>
    <col min="15620" max="15620" width="9.5703125" style="1" customWidth="1"/>
    <col min="15621" max="15621" width="9.7109375" style="1" customWidth="1"/>
    <col min="15622" max="15622" width="10.5703125" style="1" customWidth="1"/>
    <col min="15623" max="15623" width="9.140625" style="1" customWidth="1"/>
    <col min="15624" max="15625" width="9.7109375" style="1" customWidth="1"/>
    <col min="15626" max="15626" width="10.5703125" style="1" customWidth="1"/>
    <col min="15627" max="15627" width="9.140625" style="1" customWidth="1"/>
    <col min="15628" max="15872" width="9.28515625" style="1"/>
    <col min="15873" max="15873" width="5.85546875" style="1" customWidth="1"/>
    <col min="15874" max="15874" width="40.42578125" style="1" customWidth="1"/>
    <col min="15875" max="15875" width="6" style="1" customWidth="1"/>
    <col min="15876" max="15876" width="9.5703125" style="1" customWidth="1"/>
    <col min="15877" max="15877" width="9.7109375" style="1" customWidth="1"/>
    <col min="15878" max="15878" width="10.5703125" style="1" customWidth="1"/>
    <col min="15879" max="15879" width="9.140625" style="1" customWidth="1"/>
    <col min="15880" max="15881" width="9.7109375" style="1" customWidth="1"/>
    <col min="15882" max="15882" width="10.5703125" style="1" customWidth="1"/>
    <col min="15883" max="15883" width="9.140625" style="1" customWidth="1"/>
    <col min="15884" max="16128" width="9.28515625" style="1"/>
    <col min="16129" max="16129" width="5.85546875" style="1" customWidth="1"/>
    <col min="16130" max="16130" width="40.42578125" style="1" customWidth="1"/>
    <col min="16131" max="16131" width="6" style="1" customWidth="1"/>
    <col min="16132" max="16132" width="9.5703125" style="1" customWidth="1"/>
    <col min="16133" max="16133" width="9.7109375" style="1" customWidth="1"/>
    <col min="16134" max="16134" width="10.5703125" style="1" customWidth="1"/>
    <col min="16135" max="16135" width="9.140625" style="1" customWidth="1"/>
    <col min="16136" max="16137" width="9.7109375" style="1" customWidth="1"/>
    <col min="16138" max="16138" width="10.5703125" style="1" customWidth="1"/>
    <col min="16139" max="16139" width="9.140625" style="1" customWidth="1"/>
    <col min="16140" max="16384" width="9.28515625" style="1"/>
  </cols>
  <sheetData>
    <row r="1" spans="1:11" x14ac:dyDescent="0.2">
      <c r="D1" s="8"/>
      <c r="E1" s="8"/>
      <c r="F1" s="8"/>
      <c r="G1" s="1"/>
      <c r="H1" s="8" t="s">
        <v>4</v>
      </c>
      <c r="J1" s="8"/>
      <c r="K1" s="1"/>
    </row>
    <row r="2" spans="1:11" x14ac:dyDescent="0.2">
      <c r="D2" s="8"/>
      <c r="E2" s="8"/>
      <c r="F2" s="8"/>
      <c r="G2" s="1"/>
      <c r="H2" s="8" t="s">
        <v>282</v>
      </c>
      <c r="J2" s="8"/>
      <c r="K2" s="1"/>
    </row>
    <row r="3" spans="1:11" x14ac:dyDescent="0.2">
      <c r="D3" s="8"/>
      <c r="E3" s="8"/>
      <c r="F3" s="8"/>
      <c r="G3" s="1"/>
      <c r="H3" s="8" t="s">
        <v>283</v>
      </c>
      <c r="J3" s="8"/>
      <c r="K3" s="1"/>
    </row>
    <row r="5" spans="1:11" ht="15.75" x14ac:dyDescent="0.25">
      <c r="A5" s="437" t="s">
        <v>284</v>
      </c>
      <c r="B5" s="437"/>
      <c r="C5" s="437"/>
      <c r="D5" s="437"/>
      <c r="E5" s="437"/>
      <c r="F5" s="437"/>
      <c r="G5" s="437"/>
      <c r="H5" s="437"/>
      <c r="I5" s="437"/>
      <c r="J5" s="437"/>
      <c r="K5" s="437"/>
    </row>
    <row r="6" spans="1:11" ht="15.75" x14ac:dyDescent="0.25">
      <c r="B6" s="182"/>
      <c r="C6" s="182"/>
      <c r="D6" s="182"/>
      <c r="E6" s="182"/>
      <c r="F6" s="182"/>
      <c r="G6" s="182"/>
      <c r="H6" s="182"/>
      <c r="I6" s="182"/>
      <c r="J6" s="182"/>
      <c r="K6" s="182"/>
    </row>
    <row r="7" spans="1:11" ht="12.75" thickBot="1" x14ac:dyDescent="0.25">
      <c r="D7" s="8"/>
      <c r="E7" s="8"/>
      <c r="F7" s="8"/>
      <c r="G7" s="287"/>
      <c r="H7" s="8"/>
      <c r="I7" s="8"/>
      <c r="J7" s="8"/>
      <c r="K7" s="287" t="s">
        <v>151</v>
      </c>
    </row>
    <row r="8" spans="1:11" s="2" customFormat="1" x14ac:dyDescent="0.2">
      <c r="A8" s="444" t="s">
        <v>6</v>
      </c>
      <c r="B8" s="441" t="s">
        <v>25</v>
      </c>
      <c r="C8" s="478" t="s">
        <v>95</v>
      </c>
      <c r="D8" s="466" t="s">
        <v>0</v>
      </c>
      <c r="E8" s="453" t="s">
        <v>5</v>
      </c>
      <c r="F8" s="450"/>
      <c r="G8" s="454"/>
      <c r="H8" s="466" t="s">
        <v>0</v>
      </c>
      <c r="I8" s="453" t="s">
        <v>201</v>
      </c>
      <c r="J8" s="450"/>
      <c r="K8" s="454"/>
    </row>
    <row r="9" spans="1:11" s="3" customFormat="1" x14ac:dyDescent="0.2">
      <c r="A9" s="445"/>
      <c r="B9" s="442"/>
      <c r="C9" s="479"/>
      <c r="D9" s="468"/>
      <c r="E9" s="455" t="s">
        <v>1</v>
      </c>
      <c r="F9" s="456"/>
      <c r="G9" s="457" t="s">
        <v>39</v>
      </c>
      <c r="H9" s="468"/>
      <c r="I9" s="455" t="s">
        <v>1</v>
      </c>
      <c r="J9" s="456"/>
      <c r="K9" s="457" t="s">
        <v>39</v>
      </c>
    </row>
    <row r="10" spans="1:11" s="3" customFormat="1" ht="12" customHeight="1" x14ac:dyDescent="0.2">
      <c r="A10" s="445"/>
      <c r="B10" s="442"/>
      <c r="C10" s="479"/>
      <c r="D10" s="468"/>
      <c r="E10" s="460" t="s">
        <v>0</v>
      </c>
      <c r="F10" s="431" t="s">
        <v>38</v>
      </c>
      <c r="G10" s="458"/>
      <c r="H10" s="468"/>
      <c r="I10" s="460" t="s">
        <v>0</v>
      </c>
      <c r="J10" s="431" t="s">
        <v>38</v>
      </c>
      <c r="K10" s="458"/>
    </row>
    <row r="11" spans="1:11" ht="12.75" thickBot="1" x14ac:dyDescent="0.25">
      <c r="A11" s="446"/>
      <c r="B11" s="465"/>
      <c r="C11" s="480"/>
      <c r="D11" s="469"/>
      <c r="E11" s="477"/>
      <c r="F11" s="476"/>
      <c r="G11" s="459"/>
      <c r="H11" s="469"/>
      <c r="I11" s="477"/>
      <c r="J11" s="476"/>
      <c r="K11" s="459"/>
    </row>
    <row r="12" spans="1:11" x14ac:dyDescent="0.2">
      <c r="A12" s="288">
        <v>1</v>
      </c>
      <c r="B12" s="289">
        <v>2</v>
      </c>
      <c r="C12" s="290">
        <v>3</v>
      </c>
      <c r="D12" s="291">
        <v>4</v>
      </c>
      <c r="E12" s="292">
        <v>5</v>
      </c>
      <c r="F12" s="293">
        <v>6</v>
      </c>
      <c r="G12" s="294">
        <v>7</v>
      </c>
      <c r="H12" s="291">
        <v>8</v>
      </c>
      <c r="I12" s="295">
        <v>9</v>
      </c>
      <c r="J12" s="293">
        <v>10</v>
      </c>
      <c r="K12" s="296">
        <v>11</v>
      </c>
    </row>
    <row r="13" spans="1:11" s="4" customFormat="1" ht="25.5" x14ac:dyDescent="0.2">
      <c r="A13" s="297" t="s">
        <v>122</v>
      </c>
      <c r="B13" s="11" t="s">
        <v>21</v>
      </c>
      <c r="C13" s="298"/>
      <c r="D13" s="173">
        <f>SUM(G13,E13)</f>
        <v>94.305000000000007</v>
      </c>
      <c r="E13" s="299">
        <f>SUM(E15:E16)</f>
        <v>71.260000000000005</v>
      </c>
      <c r="F13" s="97">
        <f>SUM(F15:F16)</f>
        <v>0</v>
      </c>
      <c r="G13" s="300">
        <f>SUM(G15:G16)</f>
        <v>23.045000000000002</v>
      </c>
      <c r="H13" s="173">
        <f>SUM(K13,I13)</f>
        <v>57.305</v>
      </c>
      <c r="I13" s="96">
        <f>SUM(I15:I16)</f>
        <v>34.26</v>
      </c>
      <c r="J13" s="97">
        <f>SUM(J15:J16)</f>
        <v>0</v>
      </c>
      <c r="K13" s="98">
        <f>SUM(K15:K16)</f>
        <v>23.045000000000002</v>
      </c>
    </row>
    <row r="14" spans="1:11" s="4" customFormat="1" ht="12.75" x14ac:dyDescent="0.2">
      <c r="A14" s="301"/>
      <c r="B14" s="302" t="s">
        <v>276</v>
      </c>
      <c r="C14" s="303"/>
      <c r="D14" s="173"/>
      <c r="E14" s="304"/>
      <c r="F14" s="83"/>
      <c r="G14" s="305"/>
      <c r="H14" s="173"/>
      <c r="I14" s="82"/>
      <c r="J14" s="83"/>
      <c r="K14" s="84"/>
    </row>
    <row r="15" spans="1:11" ht="12.75" x14ac:dyDescent="0.2">
      <c r="A15" s="301"/>
      <c r="B15" s="302" t="s">
        <v>285</v>
      </c>
      <c r="C15" s="303" t="s">
        <v>34</v>
      </c>
      <c r="D15" s="173">
        <f>SUM(E15,G15)</f>
        <v>11.27</v>
      </c>
      <c r="E15" s="304">
        <f>I15+7.24</f>
        <v>11.27</v>
      </c>
      <c r="F15" s="83"/>
      <c r="G15" s="305">
        <f>K15</f>
        <v>0</v>
      </c>
      <c r="H15" s="173">
        <f>SUM(I15,K15)</f>
        <v>4.03</v>
      </c>
      <c r="I15" s="82">
        <v>4.03</v>
      </c>
      <c r="J15" s="83"/>
      <c r="K15" s="84"/>
    </row>
    <row r="16" spans="1:11" ht="13.5" thickBot="1" x14ac:dyDescent="0.25">
      <c r="A16" s="301"/>
      <c r="B16" s="302" t="s">
        <v>286</v>
      </c>
      <c r="C16" s="303" t="s">
        <v>33</v>
      </c>
      <c r="D16" s="173">
        <f>SUM(E16,G16)</f>
        <v>83.034999999999997</v>
      </c>
      <c r="E16" s="304">
        <f>I16+29.76</f>
        <v>59.99</v>
      </c>
      <c r="F16" s="83"/>
      <c r="G16" s="305">
        <f>K16</f>
        <v>23.045000000000002</v>
      </c>
      <c r="H16" s="173">
        <f>SUM(I16,K16)</f>
        <v>53.275000000000006</v>
      </c>
      <c r="I16" s="82">
        <v>30.23</v>
      </c>
      <c r="J16" s="83"/>
      <c r="K16" s="84">
        <v>23.045000000000002</v>
      </c>
    </row>
    <row r="17" spans="1:11" ht="13.5" hidden="1" thickBot="1" x14ac:dyDescent="0.25">
      <c r="A17" s="12" t="s">
        <v>123</v>
      </c>
      <c r="B17" s="7"/>
      <c r="C17" s="215"/>
      <c r="D17" s="173">
        <f>SUM(E17,G17)</f>
        <v>0</v>
      </c>
      <c r="E17" s="304">
        <f>SUM(E19:E19)</f>
        <v>0</v>
      </c>
      <c r="F17" s="83"/>
      <c r="G17" s="305"/>
      <c r="H17" s="173">
        <f>SUM(I17,K17)</f>
        <v>0</v>
      </c>
      <c r="I17" s="82">
        <f>SUM(I19:I19)</f>
        <v>0</v>
      </c>
      <c r="J17" s="83"/>
      <c r="K17" s="84"/>
    </row>
    <row r="18" spans="1:11" ht="13.5" hidden="1" thickBot="1" x14ac:dyDescent="0.25">
      <c r="A18" s="301"/>
      <c r="B18" s="302" t="s">
        <v>276</v>
      </c>
      <c r="C18" s="303"/>
      <c r="D18" s="173"/>
      <c r="E18" s="304"/>
      <c r="F18" s="83"/>
      <c r="G18" s="305"/>
      <c r="H18" s="173"/>
      <c r="I18" s="82"/>
      <c r="J18" s="83"/>
      <c r="K18" s="84"/>
    </row>
    <row r="19" spans="1:11" ht="13.5" hidden="1" thickBot="1" x14ac:dyDescent="0.25">
      <c r="A19" s="301"/>
      <c r="B19" s="302"/>
      <c r="C19" s="303" t="s">
        <v>33</v>
      </c>
      <c r="D19" s="173">
        <f>SUM(E19,G19)</f>
        <v>0</v>
      </c>
      <c r="E19" s="304"/>
      <c r="F19" s="83"/>
      <c r="G19" s="305"/>
      <c r="H19" s="173">
        <f>SUM(I19,K19)</f>
        <v>0</v>
      </c>
      <c r="I19" s="82"/>
      <c r="J19" s="83"/>
      <c r="K19" s="84"/>
    </row>
    <row r="20" spans="1:11" ht="13.5" hidden="1" thickBot="1" x14ac:dyDescent="0.25">
      <c r="A20" s="12" t="s">
        <v>136</v>
      </c>
      <c r="B20" s="7"/>
      <c r="C20" s="215"/>
      <c r="D20" s="173">
        <f>SUM(E20,G20)</f>
        <v>0</v>
      </c>
      <c r="E20" s="304">
        <f>SUM(E22:E22)</f>
        <v>0</v>
      </c>
      <c r="F20" s="83"/>
      <c r="G20" s="305"/>
      <c r="H20" s="173">
        <f>SUM(I20,K20)</f>
        <v>0</v>
      </c>
      <c r="I20" s="82">
        <f>SUM(I22:I22)</f>
        <v>0</v>
      </c>
      <c r="J20" s="83"/>
      <c r="K20" s="84"/>
    </row>
    <row r="21" spans="1:11" ht="13.5" hidden="1" thickBot="1" x14ac:dyDescent="0.25">
      <c r="A21" s="301"/>
      <c r="B21" s="302" t="s">
        <v>276</v>
      </c>
      <c r="C21" s="303"/>
      <c r="D21" s="173"/>
      <c r="E21" s="304"/>
      <c r="F21" s="83"/>
      <c r="G21" s="305"/>
      <c r="H21" s="173"/>
      <c r="I21" s="82"/>
      <c r="J21" s="83"/>
      <c r="K21" s="84"/>
    </row>
    <row r="22" spans="1:11" ht="13.5" hidden="1" thickBot="1" x14ac:dyDescent="0.25">
      <c r="A22" s="301"/>
      <c r="B22" s="302"/>
      <c r="C22" s="303" t="s">
        <v>33</v>
      </c>
      <c r="D22" s="173">
        <f>SUM(E22,G22)</f>
        <v>0</v>
      </c>
      <c r="E22" s="304"/>
      <c r="F22" s="83"/>
      <c r="G22" s="305"/>
      <c r="H22" s="173">
        <f>SUM(I22,K22)</f>
        <v>0</v>
      </c>
      <c r="I22" s="82"/>
      <c r="J22" s="83"/>
      <c r="K22" s="84"/>
    </row>
    <row r="23" spans="1:11" ht="13.5" hidden="1" thickBot="1" x14ac:dyDescent="0.25">
      <c r="A23" s="12" t="s">
        <v>139</v>
      </c>
      <c r="B23" s="7"/>
      <c r="C23" s="215"/>
      <c r="D23" s="173">
        <f>SUM(E23,G23)</f>
        <v>0</v>
      </c>
      <c r="E23" s="304">
        <f>SUM(E25)</f>
        <v>0</v>
      </c>
      <c r="F23" s="83"/>
      <c r="G23" s="305"/>
      <c r="H23" s="173">
        <f>SUM(I23,K23)</f>
        <v>0</v>
      </c>
      <c r="I23" s="82">
        <f>SUM(I25)</f>
        <v>0</v>
      </c>
      <c r="J23" s="83"/>
      <c r="K23" s="84"/>
    </row>
    <row r="24" spans="1:11" ht="13.5" hidden="1" thickBot="1" x14ac:dyDescent="0.25">
      <c r="A24" s="301"/>
      <c r="B24" s="302" t="s">
        <v>276</v>
      </c>
      <c r="C24" s="303"/>
      <c r="D24" s="173"/>
      <c r="E24" s="304"/>
      <c r="F24" s="83"/>
      <c r="G24" s="305"/>
      <c r="H24" s="173"/>
      <c r="I24" s="82"/>
      <c r="J24" s="83"/>
      <c r="K24" s="84"/>
    </row>
    <row r="25" spans="1:11" ht="13.5" hidden="1" thickBot="1" x14ac:dyDescent="0.25">
      <c r="A25" s="301"/>
      <c r="B25" s="302"/>
      <c r="C25" s="303" t="s">
        <v>33</v>
      </c>
      <c r="D25" s="173">
        <f>SUM(E25,G25)</f>
        <v>0</v>
      </c>
      <c r="E25" s="304"/>
      <c r="F25" s="83"/>
      <c r="G25" s="305"/>
      <c r="H25" s="173">
        <f>SUM(I25,K25)</f>
        <v>0</v>
      </c>
      <c r="I25" s="82"/>
      <c r="J25" s="83"/>
      <c r="K25" s="84"/>
    </row>
    <row r="26" spans="1:11" ht="13.5" hidden="1" thickBot="1" x14ac:dyDescent="0.25">
      <c r="A26" s="12" t="s">
        <v>138</v>
      </c>
      <c r="B26" s="7"/>
      <c r="C26" s="215"/>
      <c r="D26" s="173">
        <f>SUM(E26,G26)</f>
        <v>0</v>
      </c>
      <c r="E26" s="304">
        <f>SUM(E28)</f>
        <v>0</v>
      </c>
      <c r="F26" s="83"/>
      <c r="G26" s="305"/>
      <c r="H26" s="173">
        <f>SUM(I26,K26)</f>
        <v>0</v>
      </c>
      <c r="I26" s="82">
        <f>SUM(I28)</f>
        <v>0</v>
      </c>
      <c r="J26" s="83"/>
      <c r="K26" s="84"/>
    </row>
    <row r="27" spans="1:11" ht="13.5" hidden="1" thickBot="1" x14ac:dyDescent="0.25">
      <c r="A27" s="301"/>
      <c r="B27" s="302" t="s">
        <v>276</v>
      </c>
      <c r="C27" s="303"/>
      <c r="D27" s="173"/>
      <c r="E27" s="304"/>
      <c r="F27" s="83"/>
      <c r="G27" s="305"/>
      <c r="H27" s="173"/>
      <c r="I27" s="82"/>
      <c r="J27" s="83"/>
      <c r="K27" s="84"/>
    </row>
    <row r="28" spans="1:11" ht="13.5" hidden="1" thickBot="1" x14ac:dyDescent="0.25">
      <c r="A28" s="306"/>
      <c r="B28" s="307"/>
      <c r="C28" s="308" t="s">
        <v>33</v>
      </c>
      <c r="D28" s="309">
        <f>SUM(E28,G28)</f>
        <v>0</v>
      </c>
      <c r="E28" s="310"/>
      <c r="F28" s="87"/>
      <c r="G28" s="311"/>
      <c r="H28" s="309">
        <f>SUM(I28,K28)</f>
        <v>0</v>
      </c>
      <c r="I28" s="86"/>
      <c r="J28" s="87"/>
      <c r="K28" s="88"/>
    </row>
    <row r="29" spans="1:11" s="5" customFormat="1" ht="16.5" thickBot="1" x14ac:dyDescent="0.3">
      <c r="A29" s="26"/>
      <c r="B29" s="312" t="s">
        <v>266</v>
      </c>
      <c r="C29" s="186"/>
      <c r="D29" s="175">
        <f>SUM(E29,G29)</f>
        <v>94.305000000000007</v>
      </c>
      <c r="E29" s="313">
        <f>SUM(E20,E17,E13,E23,E26)</f>
        <v>71.260000000000005</v>
      </c>
      <c r="F29" s="105">
        <f>SUM(F20,F13)</f>
        <v>0</v>
      </c>
      <c r="G29" s="314">
        <f>SUM(G20,G17,G13)</f>
        <v>23.045000000000002</v>
      </c>
      <c r="H29" s="175">
        <f>SUM(I29,K29)</f>
        <v>57.305</v>
      </c>
      <c r="I29" s="104">
        <f>SUM(I20,I17,I13,I23,I26)</f>
        <v>34.26</v>
      </c>
      <c r="J29" s="105">
        <f>SUM(J20,J13)</f>
        <v>0</v>
      </c>
      <c r="K29" s="106">
        <f>SUM(K20,K17,K13)</f>
        <v>23.045000000000002</v>
      </c>
    </row>
    <row r="30" spans="1:11" s="5" customFormat="1" ht="12.75" x14ac:dyDescent="0.2">
      <c r="A30" s="315"/>
      <c r="B30" s="316" t="s">
        <v>287</v>
      </c>
      <c r="C30" s="317"/>
      <c r="D30" s="318"/>
      <c r="E30" s="319"/>
      <c r="F30" s="90"/>
      <c r="G30" s="320"/>
      <c r="H30" s="318"/>
      <c r="I30" s="89"/>
      <c r="J30" s="90"/>
      <c r="K30" s="91"/>
    </row>
    <row r="31" spans="1:11" s="5" customFormat="1" ht="12.75" x14ac:dyDescent="0.2">
      <c r="A31" s="321"/>
      <c r="B31" s="322" t="s">
        <v>269</v>
      </c>
      <c r="C31" s="323"/>
      <c r="D31" s="173">
        <f>D15</f>
        <v>11.27</v>
      </c>
      <c r="E31" s="304">
        <f>SUM(E15)</f>
        <v>11.27</v>
      </c>
      <c r="F31" s="83"/>
      <c r="G31" s="305"/>
      <c r="H31" s="173">
        <f>I31</f>
        <v>4.03</v>
      </c>
      <c r="I31" s="82">
        <f>SUM(I15)</f>
        <v>4.03</v>
      </c>
      <c r="J31" s="83"/>
      <c r="K31" s="84"/>
    </row>
    <row r="32" spans="1:11" s="5" customFormat="1" ht="13.5" thickBot="1" x14ac:dyDescent="0.25">
      <c r="A32" s="324"/>
      <c r="B32" s="325" t="s">
        <v>288</v>
      </c>
      <c r="C32" s="326"/>
      <c r="D32" s="327">
        <f>D16</f>
        <v>83.034999999999997</v>
      </c>
      <c r="E32" s="328">
        <f>E16</f>
        <v>59.99</v>
      </c>
      <c r="F32" s="93"/>
      <c r="G32" s="329">
        <f>G16</f>
        <v>23.045000000000002</v>
      </c>
      <c r="H32" s="327">
        <f>H16</f>
        <v>53.275000000000006</v>
      </c>
      <c r="I32" s="92">
        <f>I16</f>
        <v>30.23</v>
      </c>
      <c r="J32" s="93"/>
      <c r="K32" s="94">
        <f>K16</f>
        <v>23.045000000000002</v>
      </c>
    </row>
    <row r="33" spans="2:9" x14ac:dyDescent="0.2">
      <c r="C33" s="330"/>
      <c r="D33" s="331"/>
      <c r="E33" s="331"/>
      <c r="H33" s="331"/>
      <c r="I33" s="331"/>
    </row>
    <row r="34" spans="2:9" x14ac:dyDescent="0.2">
      <c r="C34" s="330"/>
      <c r="D34" s="332"/>
      <c r="E34" s="332"/>
      <c r="F34" s="332"/>
      <c r="G34" s="332"/>
      <c r="H34" s="331"/>
      <c r="I34" s="331"/>
    </row>
    <row r="35" spans="2:9" x14ac:dyDescent="0.2">
      <c r="B35" s="333"/>
      <c r="D35" s="8"/>
      <c r="H35" s="8"/>
    </row>
    <row r="36" spans="2:9" ht="12.75" x14ac:dyDescent="0.2">
      <c r="B36" s="334"/>
    </row>
    <row r="37" spans="2:9" x14ac:dyDescent="0.2">
      <c r="B37" s="333"/>
    </row>
    <row r="38" spans="2:9" x14ac:dyDescent="0.2">
      <c r="B38" s="333"/>
    </row>
  </sheetData>
  <sheetProtection algorithmName="SHA-512" hashValue="zax/btIOUQTbpfcxmx7VUOkZn6qyMq6heQwOm8X3gWa6ZL3dCMt/Tjdc5UJ0noe+h+g1o0fkPSOf4PaBP+q50A==" saltValue="2A9KjSBwK9LW9LlSD62XbQ==" spinCount="100000" sheet="1" objects="1" scenarios="1"/>
  <mergeCells count="16">
    <mergeCell ref="A5:K5"/>
    <mergeCell ref="A8:A11"/>
    <mergeCell ref="B8:B11"/>
    <mergeCell ref="C8:C11"/>
    <mergeCell ref="D8:D11"/>
    <mergeCell ref="E8:G8"/>
    <mergeCell ref="H8:H11"/>
    <mergeCell ref="I8:K8"/>
    <mergeCell ref="E9:F9"/>
    <mergeCell ref="G9:G11"/>
    <mergeCell ref="I9:J9"/>
    <mergeCell ref="K9:K11"/>
    <mergeCell ref="E10:E11"/>
    <mergeCell ref="F10:F11"/>
    <mergeCell ref="I10:I11"/>
    <mergeCell ref="J10:J11"/>
  </mergeCells>
  <conditionalFormatting sqref="D13:K32">
    <cfRule type="cellIs" dxfId="30" priority="1" stopIfTrue="1" operator="equal">
      <formula>0</formula>
    </cfRule>
  </conditionalFormatting>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workbookViewId="0">
      <selection activeCell="A7" sqref="A7:G7"/>
    </sheetView>
  </sheetViews>
  <sheetFormatPr defaultColWidth="9.140625" defaultRowHeight="12.75" x14ac:dyDescent="0.2"/>
  <cols>
    <col min="1" max="1" width="4.5703125" style="181" customWidth="1"/>
    <col min="2" max="2" width="51" style="1" customWidth="1"/>
    <col min="3" max="3" width="5.28515625" style="13" customWidth="1"/>
    <col min="4" max="4" width="9.140625" style="10" customWidth="1"/>
    <col min="5" max="5" width="10.42578125" style="10" customWidth="1"/>
    <col min="6" max="6" width="11.7109375" style="10" customWidth="1"/>
    <col min="7" max="7" width="10" style="10" customWidth="1"/>
    <col min="8" max="16384" width="9.140625" style="171"/>
  </cols>
  <sheetData>
    <row r="1" spans="1:7" x14ac:dyDescent="0.2">
      <c r="E1" s="8" t="s">
        <v>4</v>
      </c>
    </row>
    <row r="2" spans="1:7" ht="13.5" customHeight="1" x14ac:dyDescent="0.2">
      <c r="E2" s="8" t="s">
        <v>206</v>
      </c>
    </row>
    <row r="3" spans="1:7" hidden="1" x14ac:dyDescent="0.2">
      <c r="E3" s="8" t="s">
        <v>289</v>
      </c>
    </row>
    <row r="4" spans="1:7" hidden="1" x14ac:dyDescent="0.2">
      <c r="E4" s="8" t="s">
        <v>186</v>
      </c>
    </row>
    <row r="5" spans="1:7" x14ac:dyDescent="0.2">
      <c r="E5" s="10" t="s">
        <v>290</v>
      </c>
    </row>
    <row r="7" spans="1:7" ht="36" customHeight="1" x14ac:dyDescent="0.2">
      <c r="A7" s="488" t="s">
        <v>291</v>
      </c>
      <c r="B7" s="488"/>
      <c r="C7" s="488"/>
      <c r="D7" s="488"/>
      <c r="E7" s="488"/>
      <c r="F7" s="488"/>
      <c r="G7" s="488"/>
    </row>
    <row r="8" spans="1:7" ht="13.5" thickBot="1" x14ac:dyDescent="0.25">
      <c r="G8" s="335" t="s">
        <v>151</v>
      </c>
    </row>
    <row r="9" spans="1:7" ht="12.75" customHeight="1" x14ac:dyDescent="0.2">
      <c r="A9" s="444" t="s">
        <v>6</v>
      </c>
      <c r="B9" s="441" t="s">
        <v>25</v>
      </c>
      <c r="C9" s="438" t="s">
        <v>212</v>
      </c>
      <c r="D9" s="489" t="s">
        <v>0</v>
      </c>
      <c r="E9" s="493" t="s">
        <v>292</v>
      </c>
      <c r="F9" s="494"/>
      <c r="G9" s="495"/>
    </row>
    <row r="10" spans="1:7" x14ac:dyDescent="0.2">
      <c r="A10" s="445"/>
      <c r="B10" s="464"/>
      <c r="C10" s="439"/>
      <c r="D10" s="490"/>
      <c r="E10" s="496" t="s">
        <v>5</v>
      </c>
      <c r="F10" s="481"/>
      <c r="G10" s="497"/>
    </row>
    <row r="11" spans="1:7" ht="12.75" customHeight="1" x14ac:dyDescent="0.2">
      <c r="A11" s="445"/>
      <c r="B11" s="442"/>
      <c r="C11" s="439"/>
      <c r="D11" s="491"/>
      <c r="E11" s="498" t="s">
        <v>1</v>
      </c>
      <c r="F11" s="499"/>
      <c r="G11" s="497" t="s">
        <v>39</v>
      </c>
    </row>
    <row r="12" spans="1:7" ht="12.75" customHeight="1" x14ac:dyDescent="0.2">
      <c r="A12" s="445"/>
      <c r="B12" s="442"/>
      <c r="C12" s="439"/>
      <c r="D12" s="491"/>
      <c r="E12" s="498" t="s">
        <v>0</v>
      </c>
      <c r="F12" s="481" t="s">
        <v>38</v>
      </c>
      <c r="G12" s="497"/>
    </row>
    <row r="13" spans="1:7" ht="26.25" customHeight="1" thickBot="1" x14ac:dyDescent="0.25">
      <c r="A13" s="446"/>
      <c r="B13" s="443"/>
      <c r="C13" s="440"/>
      <c r="D13" s="492"/>
      <c r="E13" s="501"/>
      <c r="F13" s="482"/>
      <c r="G13" s="500"/>
    </row>
    <row r="14" spans="1:7" x14ac:dyDescent="0.2">
      <c r="A14" s="31">
        <v>1</v>
      </c>
      <c r="B14" s="336">
        <v>2</v>
      </c>
      <c r="C14" s="116">
        <v>3</v>
      </c>
      <c r="D14" s="250">
        <v>4</v>
      </c>
      <c r="E14" s="337">
        <v>5</v>
      </c>
      <c r="F14" s="34">
        <v>6</v>
      </c>
      <c r="G14" s="35">
        <v>7</v>
      </c>
    </row>
    <row r="15" spans="1:7" ht="28.5" customHeight="1" x14ac:dyDescent="0.2">
      <c r="A15" s="338" t="s">
        <v>122</v>
      </c>
      <c r="B15" s="339" t="s">
        <v>21</v>
      </c>
      <c r="C15" s="340"/>
      <c r="D15" s="173">
        <f>E15+G15</f>
        <v>1751.6499999999999</v>
      </c>
      <c r="E15" s="341">
        <f>SUM(E16:E34)</f>
        <v>190.03199999999998</v>
      </c>
      <c r="F15" s="342">
        <f>SUM(F16:F28)</f>
        <v>18.234999999999999</v>
      </c>
      <c r="G15" s="343">
        <f>SUM(G16:G28)</f>
        <v>1561.6179999999999</v>
      </c>
    </row>
    <row r="16" spans="1:7" ht="29.25" customHeight="1" x14ac:dyDescent="0.2">
      <c r="A16" s="483"/>
      <c r="B16" s="344" t="s">
        <v>293</v>
      </c>
      <c r="C16" s="345">
        <v>1</v>
      </c>
      <c r="D16" s="174">
        <f>E16+G16</f>
        <v>18.5</v>
      </c>
      <c r="E16" s="346">
        <v>18.5</v>
      </c>
      <c r="F16" s="347">
        <v>18.234999999999999</v>
      </c>
      <c r="G16" s="84"/>
    </row>
    <row r="17" spans="1:7" ht="66.75" customHeight="1" x14ac:dyDescent="0.2">
      <c r="A17" s="484"/>
      <c r="B17" s="348" t="s">
        <v>294</v>
      </c>
      <c r="C17" s="345">
        <v>6</v>
      </c>
      <c r="D17" s="174">
        <f t="shared" ref="D17:D25" si="0">E17+G17</f>
        <v>2.5110000000000001</v>
      </c>
      <c r="E17" s="304"/>
      <c r="F17" s="83"/>
      <c r="G17" s="84">
        <v>2.5110000000000001</v>
      </c>
    </row>
    <row r="18" spans="1:7" ht="66.75" hidden="1" customHeight="1" x14ac:dyDescent="0.2">
      <c r="A18" s="484"/>
      <c r="B18" s="348" t="s">
        <v>295</v>
      </c>
      <c r="C18" s="345">
        <v>6</v>
      </c>
      <c r="D18" s="174">
        <f t="shared" si="0"/>
        <v>0</v>
      </c>
      <c r="E18" s="304"/>
      <c r="F18" s="83"/>
      <c r="G18" s="84"/>
    </row>
    <row r="19" spans="1:7" ht="29.25" hidden="1" customHeight="1" x14ac:dyDescent="0.2">
      <c r="A19" s="484"/>
      <c r="B19" s="344" t="s">
        <v>296</v>
      </c>
      <c r="C19" s="345">
        <v>7</v>
      </c>
      <c r="D19" s="174">
        <f t="shared" si="0"/>
        <v>0</v>
      </c>
      <c r="E19" s="304"/>
      <c r="F19" s="83"/>
      <c r="G19" s="84"/>
    </row>
    <row r="20" spans="1:7" ht="54" customHeight="1" x14ac:dyDescent="0.2">
      <c r="A20" s="484"/>
      <c r="B20" s="348" t="s">
        <v>297</v>
      </c>
      <c r="C20" s="345">
        <v>8</v>
      </c>
      <c r="D20" s="174">
        <f t="shared" si="0"/>
        <v>83.221000000000004</v>
      </c>
      <c r="E20" s="304"/>
      <c r="F20" s="83"/>
      <c r="G20" s="84">
        <v>83.221000000000004</v>
      </c>
    </row>
    <row r="21" spans="1:7" ht="81" customHeight="1" x14ac:dyDescent="0.2">
      <c r="A21" s="484"/>
      <c r="B21" s="348" t="s">
        <v>298</v>
      </c>
      <c r="C21" s="345">
        <v>9</v>
      </c>
      <c r="D21" s="174">
        <f t="shared" si="0"/>
        <v>28.013999999999999</v>
      </c>
      <c r="E21" s="304"/>
      <c r="F21" s="83"/>
      <c r="G21" s="84">
        <v>28.013999999999999</v>
      </c>
    </row>
    <row r="22" spans="1:7" ht="41.25" customHeight="1" x14ac:dyDescent="0.2">
      <c r="A22" s="484"/>
      <c r="B22" s="349" t="s">
        <v>299</v>
      </c>
      <c r="C22" s="345">
        <v>9</v>
      </c>
      <c r="D22" s="174">
        <f t="shared" si="0"/>
        <v>615</v>
      </c>
      <c r="E22" s="304"/>
      <c r="F22" s="83"/>
      <c r="G22" s="84">
        <v>615</v>
      </c>
    </row>
    <row r="23" spans="1:7" ht="26.25" hidden="1" customHeight="1" x14ac:dyDescent="0.2">
      <c r="A23" s="484"/>
      <c r="B23" s="349" t="s">
        <v>300</v>
      </c>
      <c r="C23" s="345">
        <v>9</v>
      </c>
      <c r="D23" s="174">
        <f t="shared" si="0"/>
        <v>0</v>
      </c>
      <c r="E23" s="350"/>
      <c r="F23" s="83"/>
      <c r="G23" s="84"/>
    </row>
    <row r="24" spans="1:7" ht="68.25" customHeight="1" x14ac:dyDescent="0.2">
      <c r="A24" s="484"/>
      <c r="B24" s="348" t="s">
        <v>301</v>
      </c>
      <c r="C24" s="345">
        <v>10</v>
      </c>
      <c r="D24" s="174">
        <f t="shared" si="0"/>
        <v>15.532</v>
      </c>
      <c r="E24" s="304">
        <v>15.532</v>
      </c>
      <c r="F24" s="83"/>
      <c r="G24" s="84"/>
    </row>
    <row r="25" spans="1:7" ht="66.75" hidden="1" customHeight="1" x14ac:dyDescent="0.2">
      <c r="A25" s="484"/>
      <c r="B25" s="348" t="s">
        <v>302</v>
      </c>
      <c r="C25" s="345">
        <v>10</v>
      </c>
      <c r="D25" s="174">
        <f t="shared" si="0"/>
        <v>0</v>
      </c>
      <c r="E25" s="304"/>
      <c r="F25" s="83"/>
      <c r="G25" s="84"/>
    </row>
    <row r="26" spans="1:7" ht="56.25" customHeight="1" x14ac:dyDescent="0.2">
      <c r="A26" s="484"/>
      <c r="B26" s="348" t="s">
        <v>303</v>
      </c>
      <c r="C26" s="345">
        <v>10</v>
      </c>
      <c r="D26" s="174">
        <f>E26+G26</f>
        <v>128.172</v>
      </c>
      <c r="E26" s="304"/>
      <c r="F26" s="83"/>
      <c r="G26" s="84">
        <v>128.172</v>
      </c>
    </row>
    <row r="27" spans="1:7" ht="39.75" customHeight="1" x14ac:dyDescent="0.2">
      <c r="A27" s="484"/>
      <c r="B27" s="348" t="s">
        <v>304</v>
      </c>
      <c r="C27" s="345">
        <v>10</v>
      </c>
      <c r="D27" s="174">
        <f>E27+G27</f>
        <v>628.70000000000005</v>
      </c>
      <c r="E27" s="304">
        <v>156</v>
      </c>
      <c r="F27" s="83"/>
      <c r="G27" s="84">
        <v>472.7</v>
      </c>
    </row>
    <row r="28" spans="1:7" ht="27.75" customHeight="1" x14ac:dyDescent="0.2">
      <c r="A28" s="485"/>
      <c r="B28" s="348" t="s">
        <v>305</v>
      </c>
      <c r="C28" s="345">
        <v>10</v>
      </c>
      <c r="D28" s="174">
        <f>E28+G28</f>
        <v>232</v>
      </c>
      <c r="E28" s="304"/>
      <c r="F28" s="83"/>
      <c r="G28" s="84">
        <v>232</v>
      </c>
    </row>
    <row r="29" spans="1:7" ht="25.5" hidden="1" customHeight="1" x14ac:dyDescent="0.2">
      <c r="A29" s="351" t="s">
        <v>123</v>
      </c>
      <c r="B29" s="352" t="s">
        <v>8</v>
      </c>
      <c r="C29" s="340">
        <v>2</v>
      </c>
      <c r="D29" s="173"/>
      <c r="E29" s="299"/>
      <c r="F29" s="97"/>
      <c r="G29" s="98"/>
    </row>
    <row r="30" spans="1:7" ht="25.5" hidden="1" customHeight="1" x14ac:dyDescent="0.2">
      <c r="A30" s="353"/>
      <c r="B30" s="354" t="s">
        <v>306</v>
      </c>
      <c r="C30" s="345">
        <v>2</v>
      </c>
      <c r="D30" s="173"/>
      <c r="E30" s="299"/>
      <c r="F30" s="97"/>
      <c r="G30" s="98"/>
    </row>
    <row r="31" spans="1:7" ht="22.5" hidden="1" customHeight="1" x14ac:dyDescent="0.2">
      <c r="A31" s="351" t="s">
        <v>136</v>
      </c>
      <c r="B31" s="352" t="s">
        <v>153</v>
      </c>
      <c r="C31" s="340">
        <v>2</v>
      </c>
      <c r="D31" s="173"/>
      <c r="E31" s="299"/>
      <c r="F31" s="97"/>
      <c r="G31" s="98"/>
    </row>
    <row r="32" spans="1:7" ht="27.75" hidden="1" customHeight="1" x14ac:dyDescent="0.2">
      <c r="A32" s="353"/>
      <c r="B32" s="354" t="s">
        <v>306</v>
      </c>
      <c r="C32" s="345">
        <v>2</v>
      </c>
      <c r="D32" s="173"/>
      <c r="E32" s="299"/>
      <c r="F32" s="97"/>
      <c r="G32" s="98"/>
    </row>
    <row r="33" spans="1:7" ht="22.5" hidden="1" customHeight="1" x14ac:dyDescent="0.2">
      <c r="A33" s="351" t="s">
        <v>139</v>
      </c>
      <c r="B33" s="352" t="s">
        <v>154</v>
      </c>
      <c r="C33" s="340">
        <v>2</v>
      </c>
      <c r="D33" s="173"/>
      <c r="E33" s="299"/>
      <c r="F33" s="97"/>
      <c r="G33" s="98"/>
    </row>
    <row r="34" spans="1:7" ht="30.75" hidden="1" customHeight="1" x14ac:dyDescent="0.2">
      <c r="A34" s="353"/>
      <c r="B34" s="354" t="s">
        <v>306</v>
      </c>
      <c r="C34" s="345">
        <v>2</v>
      </c>
      <c r="D34" s="173"/>
      <c r="E34" s="299"/>
      <c r="F34" s="97"/>
      <c r="G34" s="98"/>
    </row>
    <row r="35" spans="1:7" ht="24.75" customHeight="1" x14ac:dyDescent="0.2">
      <c r="A35" s="351" t="s">
        <v>123</v>
      </c>
      <c r="B35" s="352" t="s">
        <v>14</v>
      </c>
      <c r="C35" s="340">
        <v>2</v>
      </c>
      <c r="D35" s="173">
        <f>E35+G35</f>
        <v>22.9</v>
      </c>
      <c r="E35" s="299">
        <f>E36</f>
        <v>22.9</v>
      </c>
      <c r="F35" s="97">
        <f>F36</f>
        <v>0</v>
      </c>
      <c r="G35" s="98">
        <f>G36</f>
        <v>0</v>
      </c>
    </row>
    <row r="36" spans="1:7" ht="25.5" x14ac:dyDescent="0.2">
      <c r="A36" s="353"/>
      <c r="B36" s="354" t="s">
        <v>307</v>
      </c>
      <c r="C36" s="345">
        <v>2</v>
      </c>
      <c r="D36" s="174">
        <f>E36+G36</f>
        <v>22.9</v>
      </c>
      <c r="E36" s="304">
        <v>22.9</v>
      </c>
      <c r="F36" s="83"/>
      <c r="G36" s="98"/>
    </row>
    <row r="37" spans="1:7" ht="25.5" hidden="1" x14ac:dyDescent="0.2">
      <c r="A37" s="353"/>
      <c r="B37" s="354" t="s">
        <v>306</v>
      </c>
      <c r="C37" s="345">
        <v>2</v>
      </c>
      <c r="D37" s="173"/>
      <c r="E37" s="299"/>
      <c r="F37" s="97"/>
      <c r="G37" s="98"/>
    </row>
    <row r="38" spans="1:7" ht="18.75" hidden="1" customHeight="1" x14ac:dyDescent="0.2">
      <c r="A38" s="351" t="s">
        <v>137</v>
      </c>
      <c r="B38" s="352" t="s">
        <v>15</v>
      </c>
      <c r="C38" s="340">
        <v>2</v>
      </c>
      <c r="D38" s="173"/>
      <c r="E38" s="299"/>
      <c r="F38" s="97"/>
      <c r="G38" s="98"/>
    </row>
    <row r="39" spans="1:7" ht="25.5" hidden="1" x14ac:dyDescent="0.2">
      <c r="A39" s="353"/>
      <c r="B39" s="354" t="s">
        <v>306</v>
      </c>
      <c r="C39" s="345">
        <v>2</v>
      </c>
      <c r="D39" s="173"/>
      <c r="E39" s="299"/>
      <c r="F39" s="97"/>
      <c r="G39" s="98"/>
    </row>
    <row r="40" spans="1:7" ht="21.75" customHeight="1" x14ac:dyDescent="0.2">
      <c r="A40" s="353" t="s">
        <v>136</v>
      </c>
      <c r="B40" s="355" t="s">
        <v>150</v>
      </c>
      <c r="C40" s="340">
        <v>2</v>
      </c>
      <c r="D40" s="173">
        <f t="shared" ref="D40:D47" si="1">E40+G40</f>
        <v>34.03</v>
      </c>
      <c r="E40" s="299">
        <f>E41</f>
        <v>34.03</v>
      </c>
      <c r="F40" s="97">
        <f>F41</f>
        <v>33.54</v>
      </c>
      <c r="G40" s="98">
        <f>G41</f>
        <v>0</v>
      </c>
    </row>
    <row r="41" spans="1:7" ht="38.25" x14ac:dyDescent="0.2">
      <c r="A41" s="353"/>
      <c r="B41" s="354" t="s">
        <v>308</v>
      </c>
      <c r="C41" s="345">
        <v>2</v>
      </c>
      <c r="D41" s="174">
        <f t="shared" si="1"/>
        <v>34.03</v>
      </c>
      <c r="E41" s="304">
        <v>34.03</v>
      </c>
      <c r="F41" s="83">
        <v>33.54</v>
      </c>
      <c r="G41" s="84"/>
    </row>
    <row r="42" spans="1:7" ht="21.75" customHeight="1" x14ac:dyDescent="0.2">
      <c r="A42" s="353" t="s">
        <v>309</v>
      </c>
      <c r="B42" s="355" t="s">
        <v>97</v>
      </c>
      <c r="C42" s="340">
        <v>2</v>
      </c>
      <c r="D42" s="173">
        <f t="shared" si="1"/>
        <v>18.23</v>
      </c>
      <c r="E42" s="299">
        <f>E43</f>
        <v>18.23</v>
      </c>
      <c r="F42" s="97">
        <f>F43</f>
        <v>17.97</v>
      </c>
      <c r="G42" s="98">
        <f>G43</f>
        <v>0</v>
      </c>
    </row>
    <row r="43" spans="1:7" ht="38.25" x14ac:dyDescent="0.2">
      <c r="A43" s="353"/>
      <c r="B43" s="354" t="s">
        <v>308</v>
      </c>
      <c r="C43" s="345">
        <v>2</v>
      </c>
      <c r="D43" s="174">
        <f t="shared" si="1"/>
        <v>18.23</v>
      </c>
      <c r="E43" s="304">
        <v>18.23</v>
      </c>
      <c r="F43" s="83">
        <v>17.97</v>
      </c>
      <c r="G43" s="84"/>
    </row>
    <row r="44" spans="1:7" ht="21.75" customHeight="1" x14ac:dyDescent="0.2">
      <c r="A44" s="351" t="s">
        <v>138</v>
      </c>
      <c r="B44" s="355" t="s">
        <v>17</v>
      </c>
      <c r="C44" s="340">
        <v>3</v>
      </c>
      <c r="D44" s="173">
        <f t="shared" si="1"/>
        <v>0.84</v>
      </c>
      <c r="E44" s="299">
        <f>E45</f>
        <v>0.84</v>
      </c>
      <c r="F44" s="97">
        <f>F45</f>
        <v>0.83</v>
      </c>
      <c r="G44" s="98">
        <f>G45</f>
        <v>0</v>
      </c>
    </row>
    <row r="45" spans="1:7" ht="38.25" x14ac:dyDescent="0.2">
      <c r="A45" s="353"/>
      <c r="B45" s="354" t="s">
        <v>308</v>
      </c>
      <c r="C45" s="345">
        <v>3</v>
      </c>
      <c r="D45" s="174">
        <f t="shared" si="1"/>
        <v>0.84</v>
      </c>
      <c r="E45" s="304">
        <v>0.84</v>
      </c>
      <c r="F45" s="83">
        <v>0.83</v>
      </c>
      <c r="G45" s="98"/>
    </row>
    <row r="46" spans="1:7" ht="21" customHeight="1" x14ac:dyDescent="0.2">
      <c r="A46" s="351" t="s">
        <v>137</v>
      </c>
      <c r="B46" s="355" t="s">
        <v>18</v>
      </c>
      <c r="C46" s="340">
        <v>10</v>
      </c>
      <c r="D46" s="173">
        <f t="shared" si="1"/>
        <v>77.194999999999993</v>
      </c>
      <c r="E46" s="299">
        <f>E47</f>
        <v>0</v>
      </c>
      <c r="F46" s="97">
        <f>F47</f>
        <v>0</v>
      </c>
      <c r="G46" s="98">
        <f>G47</f>
        <v>77.194999999999993</v>
      </c>
    </row>
    <row r="47" spans="1:7" ht="77.25" thickBot="1" x14ac:dyDescent="0.25">
      <c r="A47" s="356"/>
      <c r="B47" s="357" t="s">
        <v>310</v>
      </c>
      <c r="C47" s="358">
        <v>10</v>
      </c>
      <c r="D47" s="176">
        <f t="shared" si="1"/>
        <v>77.194999999999993</v>
      </c>
      <c r="E47" s="310"/>
      <c r="F47" s="87"/>
      <c r="G47" s="88">
        <v>77.194999999999993</v>
      </c>
    </row>
    <row r="48" spans="1:7" ht="16.5" thickBot="1" x14ac:dyDescent="0.3">
      <c r="A48" s="26"/>
      <c r="B48" s="359" t="s">
        <v>266</v>
      </c>
      <c r="C48" s="360"/>
      <c r="D48" s="175">
        <f>SUM(D15,D35,D46,D29,D31,D33,D38,D40,D42,D44)</f>
        <v>1904.8449999999998</v>
      </c>
      <c r="E48" s="313">
        <f>SUM(E15,E35,E46,E29,E31,E33,E38,E40,E42,E44)</f>
        <v>266.03199999999998</v>
      </c>
      <c r="F48" s="105">
        <f>SUM(F15,F35,F46,F29,F31,F33,F38,F40,F42,F44)</f>
        <v>70.575000000000003</v>
      </c>
      <c r="G48" s="106">
        <f>SUM(G15,G35,G46,G29,G31,G33,G38,G40,G42,G44)</f>
        <v>1638.8129999999999</v>
      </c>
    </row>
    <row r="49" spans="1:7" x14ac:dyDescent="0.2">
      <c r="A49" s="486"/>
      <c r="B49" s="361" t="s">
        <v>2</v>
      </c>
      <c r="C49" s="362"/>
      <c r="D49" s="363"/>
      <c r="E49" s="364"/>
      <c r="F49" s="365"/>
      <c r="G49" s="366"/>
    </row>
    <row r="50" spans="1:7" x14ac:dyDescent="0.2">
      <c r="A50" s="486"/>
      <c r="B50" s="322" t="s">
        <v>267</v>
      </c>
      <c r="C50" s="367"/>
      <c r="D50" s="368">
        <f>D16</f>
        <v>18.5</v>
      </c>
      <c r="E50" s="346">
        <f>E16</f>
        <v>18.5</v>
      </c>
      <c r="F50" s="347">
        <f>F16</f>
        <v>18.234999999999999</v>
      </c>
      <c r="G50" s="98">
        <f>G16</f>
        <v>0</v>
      </c>
    </row>
    <row r="51" spans="1:7" x14ac:dyDescent="0.2">
      <c r="A51" s="486"/>
      <c r="B51" s="322" t="s">
        <v>280</v>
      </c>
      <c r="C51" s="367"/>
      <c r="D51" s="174">
        <f>D36+D39+D37+D34+D32+D30+D41+D43</f>
        <v>75.16</v>
      </c>
      <c r="E51" s="304">
        <f>E36+E39+E37+E34+E32+E30+E41+E43</f>
        <v>75.16</v>
      </c>
      <c r="F51" s="83">
        <f>F36+F39+F37+F34+F32+F30+F41+F43</f>
        <v>51.51</v>
      </c>
      <c r="G51" s="84">
        <f>G36+G39+G37+G34+G32+G30+G41+G43</f>
        <v>0</v>
      </c>
    </row>
    <row r="52" spans="1:7" x14ac:dyDescent="0.2">
      <c r="A52" s="486"/>
      <c r="B52" s="322" t="s">
        <v>281</v>
      </c>
      <c r="C52" s="367"/>
      <c r="D52" s="174">
        <f>D45</f>
        <v>0.84</v>
      </c>
      <c r="E52" s="304">
        <f>E45</f>
        <v>0.84</v>
      </c>
      <c r="F52" s="83">
        <f>F45</f>
        <v>0.83</v>
      </c>
      <c r="G52" s="84">
        <f>G45</f>
        <v>0</v>
      </c>
    </row>
    <row r="53" spans="1:7" x14ac:dyDescent="0.2">
      <c r="A53" s="486"/>
      <c r="B53" s="322" t="s">
        <v>268</v>
      </c>
      <c r="C53" s="367"/>
      <c r="D53" s="174">
        <f>SUM(D17,D18)</f>
        <v>2.5110000000000001</v>
      </c>
      <c r="E53" s="304">
        <f>SUM(E17,E18)</f>
        <v>0</v>
      </c>
      <c r="F53" s="83">
        <f>SUM(F17,F18)</f>
        <v>0</v>
      </c>
      <c r="G53" s="84">
        <f>SUM(G17,G18)</f>
        <v>2.5110000000000001</v>
      </c>
    </row>
    <row r="54" spans="1:7" hidden="1" x14ac:dyDescent="0.2">
      <c r="A54" s="486"/>
      <c r="B54" s="322" t="s">
        <v>269</v>
      </c>
      <c r="C54" s="367"/>
      <c r="D54" s="174">
        <f>D19</f>
        <v>0</v>
      </c>
      <c r="E54" s="304"/>
      <c r="F54" s="83"/>
      <c r="G54" s="84">
        <f>G19</f>
        <v>0</v>
      </c>
    </row>
    <row r="55" spans="1:7" x14ac:dyDescent="0.2">
      <c r="A55" s="486"/>
      <c r="B55" s="322" t="s">
        <v>288</v>
      </c>
      <c r="C55" s="367"/>
      <c r="D55" s="174">
        <f t="shared" ref="D55:G56" si="2">D20</f>
        <v>83.221000000000004</v>
      </c>
      <c r="E55" s="304">
        <f t="shared" si="2"/>
        <v>0</v>
      </c>
      <c r="F55" s="83">
        <f t="shared" si="2"/>
        <v>0</v>
      </c>
      <c r="G55" s="84">
        <f t="shared" si="2"/>
        <v>83.221000000000004</v>
      </c>
    </row>
    <row r="56" spans="1:7" x14ac:dyDescent="0.2">
      <c r="A56" s="486"/>
      <c r="B56" s="322" t="s">
        <v>270</v>
      </c>
      <c r="C56" s="369"/>
      <c r="D56" s="174">
        <f>D21+D22+D23</f>
        <v>643.01400000000001</v>
      </c>
      <c r="E56" s="304">
        <f>SUM(E21:E23)</f>
        <v>0</v>
      </c>
      <c r="F56" s="83">
        <f t="shared" si="2"/>
        <v>0</v>
      </c>
      <c r="G56" s="84">
        <f>G21+G22+G23</f>
        <v>643.01400000000001</v>
      </c>
    </row>
    <row r="57" spans="1:7" ht="13.5" thickBot="1" x14ac:dyDescent="0.25">
      <c r="A57" s="487"/>
      <c r="B57" s="370" t="s">
        <v>311</v>
      </c>
      <c r="C57" s="371"/>
      <c r="D57" s="177">
        <f>D47+D25+D27+D24+D28+D26</f>
        <v>1081.5989999999999</v>
      </c>
      <c r="E57" s="328">
        <f>E47+E25+E27+E24+E28</f>
        <v>171.53200000000001</v>
      </c>
      <c r="F57" s="93">
        <f>F47+F25+F27+F24+F28</f>
        <v>0</v>
      </c>
      <c r="G57" s="94">
        <f>SUM(G24:G28)+G47</f>
        <v>910.06700000000001</v>
      </c>
    </row>
  </sheetData>
  <sheetProtection algorithmName="SHA-512" hashValue="h8dHLpvQbdaGHbqSTu9lJOua2hUAXfUDW1jvtLzNTy+wdg3h+o5999ZG9q8QAWgnXy4/xbjP75Mqy7UAs9VYIA==" saltValue="X41t13/D8xArz8j4CVJDbg==" spinCount="100000" sheet="1" objects="1" scenarios="1"/>
  <mergeCells count="13">
    <mergeCell ref="F12:F13"/>
    <mergeCell ref="A16:A28"/>
    <mergeCell ref="A49:A57"/>
    <mergeCell ref="A7:G7"/>
    <mergeCell ref="A9:A13"/>
    <mergeCell ref="B9:B13"/>
    <mergeCell ref="C9:C13"/>
    <mergeCell ref="D9:D13"/>
    <mergeCell ref="E9:G9"/>
    <mergeCell ref="E10:G10"/>
    <mergeCell ref="E11:F11"/>
    <mergeCell ref="G11:G13"/>
    <mergeCell ref="E12:E13"/>
  </mergeCells>
  <conditionalFormatting sqref="D15 D17:G26 D29:G49 D27:D28">
    <cfRule type="cellIs" dxfId="29" priority="9" stopIfTrue="1" operator="equal">
      <formula>0</formula>
    </cfRule>
  </conditionalFormatting>
  <conditionalFormatting sqref="E15:F15">
    <cfRule type="cellIs" dxfId="28" priority="5" stopIfTrue="1" operator="equal">
      <formula>0</formula>
    </cfRule>
  </conditionalFormatting>
  <conditionalFormatting sqref="G16">
    <cfRule type="cellIs" dxfId="27" priority="6" stopIfTrue="1" operator="equal">
      <formula>0</formula>
    </cfRule>
  </conditionalFormatting>
  <conditionalFormatting sqref="E16:F16">
    <cfRule type="cellIs" dxfId="26" priority="8" stopIfTrue="1" operator="equal">
      <formula>0</formula>
    </cfRule>
  </conditionalFormatting>
  <conditionalFormatting sqref="D16">
    <cfRule type="cellIs" dxfId="25" priority="7" stopIfTrue="1" operator="equal">
      <formula>0</formula>
    </cfRule>
  </conditionalFormatting>
  <conditionalFormatting sqref="G15">
    <cfRule type="cellIs" dxfId="24" priority="4" stopIfTrue="1" operator="equal">
      <formula>0</formula>
    </cfRule>
  </conditionalFormatting>
  <conditionalFormatting sqref="D50:G57">
    <cfRule type="cellIs" dxfId="23" priority="3" stopIfTrue="1" operator="equal">
      <formula>0</formula>
    </cfRule>
  </conditionalFormatting>
  <conditionalFormatting sqref="E27:G27 E28:F28">
    <cfRule type="cellIs" dxfId="22" priority="2" stopIfTrue="1" operator="equal">
      <formula>0</formula>
    </cfRule>
  </conditionalFormatting>
  <conditionalFormatting sqref="G28">
    <cfRule type="cellIs" dxfId="21" priority="1" stopIfTrue="1" operator="equal">
      <formula>0</formula>
    </cfRule>
  </conditionalFormatting>
  <pageMargins left="0.7" right="0.7" top="0.75" bottom="0.75" header="0.3" footer="0.3"/>
  <pageSetup paperSize="9" scale="85"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workbookViewId="0">
      <selection activeCell="O18" sqref="O18"/>
    </sheetView>
  </sheetViews>
  <sheetFormatPr defaultColWidth="9.28515625" defaultRowHeight="12" x14ac:dyDescent="0.2"/>
  <cols>
    <col min="1" max="1" width="5.85546875" style="181" customWidth="1"/>
    <col min="2" max="2" width="60.7109375" style="1" customWidth="1"/>
    <col min="3" max="3" width="8.28515625" style="13" customWidth="1"/>
    <col min="4" max="7" width="10.5703125" style="10" customWidth="1"/>
    <col min="8" max="9" width="9.28515625" style="1"/>
    <col min="10" max="10" width="10.7109375" style="1" customWidth="1"/>
    <col min="11" max="16384" width="9.28515625" style="1"/>
  </cols>
  <sheetData>
    <row r="1" spans="1:11" x14ac:dyDescent="0.2">
      <c r="H1" s="8" t="s">
        <v>4</v>
      </c>
    </row>
    <row r="2" spans="1:11" x14ac:dyDescent="0.2">
      <c r="H2" s="8" t="s">
        <v>206</v>
      </c>
    </row>
    <row r="3" spans="1:11" hidden="1" x14ac:dyDescent="0.2">
      <c r="H3" s="8" t="s">
        <v>198</v>
      </c>
    </row>
    <row r="4" spans="1:11" hidden="1" x14ac:dyDescent="0.2">
      <c r="H4" s="8" t="s">
        <v>186</v>
      </c>
    </row>
    <row r="5" spans="1:11" ht="12" customHeight="1" x14ac:dyDescent="0.2">
      <c r="H5" s="10" t="s">
        <v>312</v>
      </c>
      <c r="K5" s="10"/>
    </row>
    <row r="6" spans="1:11" ht="30.75" customHeight="1" x14ac:dyDescent="0.2">
      <c r="A6" s="488" t="s">
        <v>313</v>
      </c>
      <c r="B6" s="488"/>
      <c r="C6" s="488"/>
      <c r="D6" s="488"/>
      <c r="E6" s="488"/>
      <c r="F6" s="488"/>
      <c r="G6" s="488"/>
      <c r="H6" s="488"/>
      <c r="I6" s="488"/>
      <c r="J6" s="488"/>
      <c r="K6" s="488"/>
    </row>
    <row r="7" spans="1:11" ht="21.6" customHeight="1" thickBot="1" x14ac:dyDescent="0.25">
      <c r="G7" s="372"/>
      <c r="K7" s="372" t="s">
        <v>151</v>
      </c>
    </row>
    <row r="8" spans="1:11" s="2" customFormat="1" ht="13.9" customHeight="1" x14ac:dyDescent="0.2">
      <c r="A8" s="444" t="s">
        <v>6</v>
      </c>
      <c r="B8" s="441" t="s">
        <v>25</v>
      </c>
      <c r="C8" s="438" t="s">
        <v>212</v>
      </c>
      <c r="D8" s="489" t="s">
        <v>0</v>
      </c>
      <c r="E8" s="502" t="s">
        <v>292</v>
      </c>
      <c r="F8" s="494"/>
      <c r="G8" s="495"/>
      <c r="H8" s="503" t="s">
        <v>201</v>
      </c>
      <c r="I8" s="504"/>
      <c r="J8" s="504"/>
      <c r="K8" s="505"/>
    </row>
    <row r="9" spans="1:11" s="2" customFormat="1" ht="13.9" customHeight="1" x14ac:dyDescent="0.2">
      <c r="A9" s="445"/>
      <c r="B9" s="464"/>
      <c r="C9" s="439"/>
      <c r="D9" s="490"/>
      <c r="E9" s="506" t="s">
        <v>5</v>
      </c>
      <c r="F9" s="507"/>
      <c r="G9" s="508"/>
      <c r="H9" s="509" t="s">
        <v>0</v>
      </c>
      <c r="I9" s="506" t="s">
        <v>5</v>
      </c>
      <c r="J9" s="507"/>
      <c r="K9" s="508"/>
    </row>
    <row r="10" spans="1:11" s="3" customFormat="1" ht="15.75" customHeight="1" x14ac:dyDescent="0.2">
      <c r="A10" s="445"/>
      <c r="B10" s="442"/>
      <c r="C10" s="439"/>
      <c r="D10" s="491"/>
      <c r="E10" s="512" t="s">
        <v>1</v>
      </c>
      <c r="F10" s="498"/>
      <c r="G10" s="513" t="s">
        <v>39</v>
      </c>
      <c r="H10" s="510"/>
      <c r="I10" s="512" t="s">
        <v>1</v>
      </c>
      <c r="J10" s="498"/>
      <c r="K10" s="513" t="s">
        <v>39</v>
      </c>
    </row>
    <row r="11" spans="1:11" s="3" customFormat="1" ht="12" customHeight="1" x14ac:dyDescent="0.2">
      <c r="A11" s="445"/>
      <c r="B11" s="442"/>
      <c r="C11" s="439"/>
      <c r="D11" s="491"/>
      <c r="E11" s="516" t="s">
        <v>0</v>
      </c>
      <c r="F11" s="481" t="s">
        <v>38</v>
      </c>
      <c r="G11" s="514"/>
      <c r="H11" s="510"/>
      <c r="I11" s="516" t="s">
        <v>0</v>
      </c>
      <c r="J11" s="481" t="s">
        <v>38</v>
      </c>
      <c r="K11" s="514"/>
    </row>
    <row r="12" spans="1:11" ht="15.75" customHeight="1" thickBot="1" x14ac:dyDescent="0.25">
      <c r="A12" s="446"/>
      <c r="B12" s="443"/>
      <c r="C12" s="440"/>
      <c r="D12" s="492"/>
      <c r="E12" s="517"/>
      <c r="F12" s="518"/>
      <c r="G12" s="515"/>
      <c r="H12" s="511"/>
      <c r="I12" s="517"/>
      <c r="J12" s="518"/>
      <c r="K12" s="515"/>
    </row>
    <row r="13" spans="1:11" ht="16.5" customHeight="1" x14ac:dyDescent="0.2">
      <c r="A13" s="31">
        <v>1</v>
      </c>
      <c r="B13" s="187">
        <v>2</v>
      </c>
      <c r="C13" s="32">
        <v>3</v>
      </c>
      <c r="D13" s="250">
        <v>4</v>
      </c>
      <c r="E13" s="33">
        <v>5</v>
      </c>
      <c r="F13" s="34">
        <v>6</v>
      </c>
      <c r="G13" s="373">
        <v>7</v>
      </c>
      <c r="H13" s="250">
        <v>8</v>
      </c>
      <c r="I13" s="337">
        <v>9</v>
      </c>
      <c r="J13" s="34">
        <v>10</v>
      </c>
      <c r="K13" s="35">
        <v>11</v>
      </c>
    </row>
    <row r="14" spans="1:11" s="4" customFormat="1" ht="22.5" customHeight="1" x14ac:dyDescent="0.2">
      <c r="A14" s="483" t="s">
        <v>122</v>
      </c>
      <c r="B14" s="37" t="s">
        <v>275</v>
      </c>
      <c r="C14" s="77"/>
      <c r="D14" s="374">
        <f>E14+G14</f>
        <v>488.02699999999999</v>
      </c>
      <c r="E14" s="375">
        <f>SUM(E16:E32)</f>
        <v>35.346999999999994</v>
      </c>
      <c r="F14" s="376">
        <f>SUM(F16:F32)</f>
        <v>4.8480000000000008</v>
      </c>
      <c r="G14" s="377">
        <f>SUM(G16:G32)</f>
        <v>452.68</v>
      </c>
      <c r="H14" s="374">
        <f>I14+K14</f>
        <v>450.00700000000001</v>
      </c>
      <c r="I14" s="375">
        <f>SUM(I16:I32)</f>
        <v>11.218000000000002</v>
      </c>
      <c r="J14" s="376">
        <f>SUM(J16:J32)</f>
        <v>4.8480000000000008</v>
      </c>
      <c r="K14" s="377">
        <f>SUM(K16:K32)</f>
        <v>438.78899999999999</v>
      </c>
    </row>
    <row r="15" spans="1:11" ht="12.75" customHeight="1" x14ac:dyDescent="0.2">
      <c r="A15" s="484"/>
      <c r="B15" s="6" t="s">
        <v>2</v>
      </c>
      <c r="C15" s="183"/>
      <c r="D15" s="374"/>
      <c r="E15" s="378"/>
      <c r="F15" s="376"/>
      <c r="G15" s="379"/>
      <c r="H15" s="374"/>
      <c r="I15" s="375"/>
      <c r="J15" s="376"/>
      <c r="K15" s="377"/>
    </row>
    <row r="16" spans="1:11" ht="22.5" customHeight="1" x14ac:dyDescent="0.2">
      <c r="A16" s="484"/>
      <c r="B16" s="380" t="s">
        <v>314</v>
      </c>
      <c r="C16" s="183">
        <v>1</v>
      </c>
      <c r="D16" s="381">
        <f>E16+G16</f>
        <v>3.5750000000000002</v>
      </c>
      <c r="E16" s="151">
        <f>I16</f>
        <v>3.5750000000000002</v>
      </c>
      <c r="F16" s="152">
        <f>J16</f>
        <v>0</v>
      </c>
      <c r="G16" s="379">
        <v>0</v>
      </c>
      <c r="H16" s="174">
        <f>I16+K16</f>
        <v>3.5750000000000002</v>
      </c>
      <c r="I16" s="382">
        <v>3.5750000000000002</v>
      </c>
      <c r="J16" s="143"/>
      <c r="K16" s="144"/>
    </row>
    <row r="17" spans="1:11" ht="22.5" customHeight="1" x14ac:dyDescent="0.2">
      <c r="A17" s="484"/>
      <c r="B17" s="380" t="s">
        <v>315</v>
      </c>
      <c r="C17" s="183">
        <v>2</v>
      </c>
      <c r="D17" s="381">
        <f t="shared" ref="D17:D49" si="0">E17+G17</f>
        <v>3.14</v>
      </c>
      <c r="E17" s="382">
        <v>3.14</v>
      </c>
      <c r="F17" s="152">
        <f>J17</f>
        <v>0</v>
      </c>
      <c r="G17" s="379">
        <f>K17</f>
        <v>0</v>
      </c>
      <c r="H17" s="174">
        <f t="shared" ref="H17:H49" si="1">I17+K17</f>
        <v>0</v>
      </c>
      <c r="I17" s="382"/>
      <c r="J17" s="143"/>
      <c r="K17" s="144"/>
    </row>
    <row r="18" spans="1:11" ht="39" customHeight="1" x14ac:dyDescent="0.2">
      <c r="A18" s="484"/>
      <c r="B18" s="380" t="s">
        <v>316</v>
      </c>
      <c r="C18" s="183">
        <v>3</v>
      </c>
      <c r="D18" s="381">
        <f t="shared" si="0"/>
        <v>6.3360000000000003</v>
      </c>
      <c r="E18" s="151">
        <f t="shared" ref="E18:G32" si="2">I18</f>
        <v>6.3360000000000003</v>
      </c>
      <c r="F18" s="152">
        <f t="shared" si="2"/>
        <v>4.2670000000000003</v>
      </c>
      <c r="G18" s="379">
        <f t="shared" si="2"/>
        <v>0</v>
      </c>
      <c r="H18" s="174">
        <f t="shared" si="1"/>
        <v>6.3360000000000003</v>
      </c>
      <c r="I18" s="382">
        <v>6.3360000000000003</v>
      </c>
      <c r="J18" s="383">
        <v>4.2670000000000003</v>
      </c>
      <c r="K18" s="144"/>
    </row>
    <row r="19" spans="1:11" ht="33" hidden="1" customHeight="1" x14ac:dyDescent="0.2">
      <c r="A19" s="484"/>
      <c r="B19" s="380" t="s">
        <v>317</v>
      </c>
      <c r="C19" s="183">
        <v>6</v>
      </c>
      <c r="D19" s="381">
        <f t="shared" si="0"/>
        <v>0</v>
      </c>
      <c r="E19" s="151">
        <f t="shared" si="2"/>
        <v>0</v>
      </c>
      <c r="F19" s="152">
        <f t="shared" si="2"/>
        <v>0</v>
      </c>
      <c r="G19" s="379">
        <f t="shared" si="2"/>
        <v>0</v>
      </c>
      <c r="H19" s="173">
        <f t="shared" si="1"/>
        <v>0</v>
      </c>
      <c r="I19" s="382"/>
      <c r="J19" s="143"/>
      <c r="K19" s="144"/>
    </row>
    <row r="20" spans="1:11" ht="33" customHeight="1" x14ac:dyDescent="0.2">
      <c r="A20" s="484"/>
      <c r="B20" s="380" t="s">
        <v>318</v>
      </c>
      <c r="C20" s="183">
        <v>6</v>
      </c>
      <c r="D20" s="381">
        <f t="shared" si="0"/>
        <v>41.960999999999999</v>
      </c>
      <c r="E20" s="151">
        <f t="shared" si="2"/>
        <v>0</v>
      </c>
      <c r="F20" s="152">
        <f t="shared" si="2"/>
        <v>0</v>
      </c>
      <c r="G20" s="305">
        <f t="shared" si="2"/>
        <v>41.960999999999999</v>
      </c>
      <c r="H20" s="174">
        <f t="shared" si="1"/>
        <v>41.960999999999999</v>
      </c>
      <c r="I20" s="382"/>
      <c r="J20" s="143"/>
      <c r="K20" s="144">
        <v>41.960999999999999</v>
      </c>
    </row>
    <row r="21" spans="1:11" ht="33" hidden="1" customHeight="1" x14ac:dyDescent="0.2">
      <c r="A21" s="484"/>
      <c r="B21" s="380" t="s">
        <v>319</v>
      </c>
      <c r="C21" s="183">
        <v>6</v>
      </c>
      <c r="D21" s="381">
        <f t="shared" si="0"/>
        <v>0</v>
      </c>
      <c r="E21" s="151">
        <f t="shared" si="2"/>
        <v>0</v>
      </c>
      <c r="F21" s="152">
        <f t="shared" si="2"/>
        <v>0</v>
      </c>
      <c r="G21" s="379">
        <f t="shared" si="2"/>
        <v>0</v>
      </c>
      <c r="H21" s="173">
        <f t="shared" si="1"/>
        <v>0</v>
      </c>
      <c r="I21" s="382"/>
      <c r="J21" s="143"/>
      <c r="K21" s="144"/>
    </row>
    <row r="22" spans="1:11" ht="33" hidden="1" customHeight="1" x14ac:dyDescent="0.2">
      <c r="A22" s="484"/>
      <c r="B22" s="380" t="s">
        <v>320</v>
      </c>
      <c r="C22" s="183">
        <v>7</v>
      </c>
      <c r="D22" s="381">
        <f t="shared" si="0"/>
        <v>0</v>
      </c>
      <c r="E22" s="151">
        <f t="shared" si="2"/>
        <v>0</v>
      </c>
      <c r="F22" s="152">
        <f t="shared" si="2"/>
        <v>0</v>
      </c>
      <c r="G22" s="379">
        <f t="shared" si="2"/>
        <v>0</v>
      </c>
      <c r="H22" s="173">
        <f t="shared" si="1"/>
        <v>0</v>
      </c>
      <c r="I22" s="382"/>
      <c r="J22" s="143"/>
      <c r="K22" s="144"/>
    </row>
    <row r="23" spans="1:11" ht="33" customHeight="1" x14ac:dyDescent="0.2">
      <c r="A23" s="484"/>
      <c r="B23" s="380" t="s">
        <v>321</v>
      </c>
      <c r="C23" s="183">
        <v>7</v>
      </c>
      <c r="D23" s="381">
        <f t="shared" si="0"/>
        <v>16.48</v>
      </c>
      <c r="E23" s="151">
        <v>16.48</v>
      </c>
      <c r="F23" s="152"/>
      <c r="G23" s="379"/>
      <c r="H23" s="374"/>
      <c r="I23" s="382"/>
      <c r="J23" s="143"/>
      <c r="K23" s="144"/>
    </row>
    <row r="24" spans="1:11" ht="33" hidden="1" customHeight="1" x14ac:dyDescent="0.2">
      <c r="A24" s="484"/>
      <c r="B24" s="380" t="s">
        <v>322</v>
      </c>
      <c r="C24" s="183">
        <v>8</v>
      </c>
      <c r="D24" s="381">
        <f t="shared" si="0"/>
        <v>0</v>
      </c>
      <c r="E24" s="151">
        <f t="shared" si="2"/>
        <v>0</v>
      </c>
      <c r="F24" s="152">
        <f t="shared" si="2"/>
        <v>0</v>
      </c>
      <c r="G24" s="379">
        <f t="shared" si="2"/>
        <v>0</v>
      </c>
      <c r="H24" s="173">
        <f t="shared" si="1"/>
        <v>0</v>
      </c>
      <c r="I24" s="382"/>
      <c r="J24" s="143"/>
      <c r="K24" s="144"/>
    </row>
    <row r="25" spans="1:11" s="384" customFormat="1" ht="45" customHeight="1" x14ac:dyDescent="0.2">
      <c r="A25" s="484"/>
      <c r="B25" s="380" t="s">
        <v>323</v>
      </c>
      <c r="C25" s="183">
        <v>9</v>
      </c>
      <c r="D25" s="381">
        <f t="shared" si="0"/>
        <v>396.82799999999997</v>
      </c>
      <c r="E25" s="151">
        <f t="shared" si="2"/>
        <v>0</v>
      </c>
      <c r="F25" s="152">
        <f t="shared" si="2"/>
        <v>0</v>
      </c>
      <c r="G25" s="305">
        <f t="shared" si="2"/>
        <v>396.82799999999997</v>
      </c>
      <c r="H25" s="174">
        <f>I25+K25</f>
        <v>396.82799999999997</v>
      </c>
      <c r="I25" s="382"/>
      <c r="J25" s="143"/>
      <c r="K25" s="144">
        <v>396.82799999999997</v>
      </c>
    </row>
    <row r="26" spans="1:11" s="384" customFormat="1" ht="33.75" customHeight="1" x14ac:dyDescent="0.2">
      <c r="A26" s="484"/>
      <c r="B26" s="380" t="s">
        <v>324</v>
      </c>
      <c r="C26" s="183">
        <v>9</v>
      </c>
      <c r="D26" s="381">
        <f t="shared" si="0"/>
        <v>1.3069999999999999</v>
      </c>
      <c r="E26" s="151">
        <f t="shared" si="2"/>
        <v>1.3069999999999999</v>
      </c>
      <c r="F26" s="152">
        <f t="shared" si="2"/>
        <v>0.58099999999999996</v>
      </c>
      <c r="G26" s="379">
        <f t="shared" si="2"/>
        <v>0</v>
      </c>
      <c r="H26" s="174">
        <f t="shared" si="1"/>
        <v>1.3069999999999999</v>
      </c>
      <c r="I26" s="382">
        <v>1.3069999999999999</v>
      </c>
      <c r="J26" s="383">
        <v>0.58099999999999996</v>
      </c>
      <c r="K26" s="144"/>
    </row>
    <row r="27" spans="1:11" s="384" customFormat="1" ht="22.5" hidden="1" customHeight="1" x14ac:dyDescent="0.2">
      <c r="A27" s="484"/>
      <c r="B27" s="380" t="s">
        <v>325</v>
      </c>
      <c r="C27" s="183">
        <v>9</v>
      </c>
      <c r="D27" s="381">
        <f t="shared" si="0"/>
        <v>0</v>
      </c>
      <c r="E27" s="151">
        <f t="shared" si="2"/>
        <v>0</v>
      </c>
      <c r="F27" s="152">
        <f t="shared" si="2"/>
        <v>0</v>
      </c>
      <c r="G27" s="379">
        <f t="shared" si="2"/>
        <v>0</v>
      </c>
      <c r="H27" s="173">
        <f t="shared" si="1"/>
        <v>0</v>
      </c>
      <c r="I27" s="375"/>
      <c r="J27" s="376"/>
      <c r="K27" s="377"/>
    </row>
    <row r="28" spans="1:11" s="384" customFormat="1" ht="36" hidden="1" customHeight="1" x14ac:dyDescent="0.2">
      <c r="A28" s="484"/>
      <c r="B28" s="380" t="s">
        <v>326</v>
      </c>
      <c r="C28" s="183">
        <v>10</v>
      </c>
      <c r="D28" s="381">
        <f t="shared" si="0"/>
        <v>0</v>
      </c>
      <c r="E28" s="151">
        <f t="shared" si="2"/>
        <v>0</v>
      </c>
      <c r="F28" s="152">
        <f t="shared" si="2"/>
        <v>0</v>
      </c>
      <c r="G28" s="379">
        <f t="shared" si="2"/>
        <v>0</v>
      </c>
      <c r="H28" s="173">
        <f t="shared" si="1"/>
        <v>0</v>
      </c>
      <c r="I28" s="375"/>
      <c r="J28" s="376"/>
      <c r="K28" s="377"/>
    </row>
    <row r="29" spans="1:11" s="384" customFormat="1" ht="36" hidden="1" customHeight="1" x14ac:dyDescent="0.2">
      <c r="A29" s="484"/>
      <c r="B29" s="380" t="s">
        <v>327</v>
      </c>
      <c r="C29" s="183">
        <v>10</v>
      </c>
      <c r="D29" s="381">
        <f t="shared" si="0"/>
        <v>0</v>
      </c>
      <c r="E29" s="151">
        <f t="shared" si="2"/>
        <v>0</v>
      </c>
      <c r="F29" s="152">
        <f t="shared" si="2"/>
        <v>0</v>
      </c>
      <c r="G29" s="379">
        <f t="shared" si="2"/>
        <v>0</v>
      </c>
      <c r="H29" s="173">
        <f t="shared" si="1"/>
        <v>0</v>
      </c>
      <c r="I29" s="375"/>
      <c r="J29" s="376"/>
      <c r="K29" s="377"/>
    </row>
    <row r="30" spans="1:11" s="384" customFormat="1" ht="36" customHeight="1" x14ac:dyDescent="0.2">
      <c r="A30" s="484"/>
      <c r="B30" s="380" t="s">
        <v>328</v>
      </c>
      <c r="C30" s="183">
        <v>10</v>
      </c>
      <c r="D30" s="381">
        <f t="shared" si="0"/>
        <v>18.399999999999999</v>
      </c>
      <c r="E30" s="151">
        <v>4.5090000000000003</v>
      </c>
      <c r="F30" s="152">
        <f t="shared" si="2"/>
        <v>0</v>
      </c>
      <c r="G30" s="385">
        <v>13.891</v>
      </c>
      <c r="H30" s="374">
        <f t="shared" si="1"/>
        <v>0</v>
      </c>
      <c r="I30" s="375"/>
      <c r="J30" s="376"/>
      <c r="K30" s="377"/>
    </row>
    <row r="31" spans="1:11" s="384" customFormat="1" ht="36" hidden="1" customHeight="1" x14ac:dyDescent="0.2">
      <c r="A31" s="484"/>
      <c r="B31" s="380" t="s">
        <v>329</v>
      </c>
      <c r="C31" s="183">
        <v>10</v>
      </c>
      <c r="D31" s="381">
        <f t="shared" si="0"/>
        <v>0</v>
      </c>
      <c r="E31" s="151">
        <f t="shared" si="2"/>
        <v>0</v>
      </c>
      <c r="F31" s="152">
        <f t="shared" si="2"/>
        <v>0</v>
      </c>
      <c r="G31" s="379">
        <f t="shared" si="2"/>
        <v>0</v>
      </c>
      <c r="H31" s="173">
        <f t="shared" si="1"/>
        <v>0</v>
      </c>
      <c r="I31" s="375"/>
      <c r="J31" s="376"/>
      <c r="K31" s="377"/>
    </row>
    <row r="32" spans="1:11" s="384" customFormat="1" ht="30" hidden="1" customHeight="1" x14ac:dyDescent="0.2">
      <c r="A32" s="485"/>
      <c r="B32" s="380" t="s">
        <v>330</v>
      </c>
      <c r="C32" s="183">
        <v>10</v>
      </c>
      <c r="D32" s="381">
        <f t="shared" si="0"/>
        <v>0</v>
      </c>
      <c r="E32" s="151">
        <f t="shared" si="2"/>
        <v>0</v>
      </c>
      <c r="F32" s="152">
        <f t="shared" si="2"/>
        <v>0</v>
      </c>
      <c r="G32" s="379">
        <f t="shared" si="2"/>
        <v>0</v>
      </c>
      <c r="H32" s="173">
        <f t="shared" si="1"/>
        <v>0</v>
      </c>
      <c r="I32" s="375"/>
      <c r="J32" s="376"/>
      <c r="K32" s="377"/>
    </row>
    <row r="33" spans="1:11" ht="24" customHeight="1" x14ac:dyDescent="0.2">
      <c r="A33" s="483" t="s">
        <v>123</v>
      </c>
      <c r="B33" s="37" t="s">
        <v>150</v>
      </c>
      <c r="C33" s="386">
        <v>2</v>
      </c>
      <c r="D33" s="173">
        <f t="shared" si="0"/>
        <v>0.68</v>
      </c>
      <c r="E33" s="378">
        <f>E35</f>
        <v>0.68</v>
      </c>
      <c r="F33" s="376">
        <f>F35</f>
        <v>0.66800000000000004</v>
      </c>
      <c r="G33" s="379">
        <f>G35</f>
        <v>0</v>
      </c>
      <c r="H33" s="173">
        <f t="shared" si="1"/>
        <v>0</v>
      </c>
      <c r="I33" s="375">
        <f>I35</f>
        <v>0</v>
      </c>
      <c r="J33" s="376">
        <f>J35</f>
        <v>0</v>
      </c>
      <c r="K33" s="377"/>
    </row>
    <row r="34" spans="1:11" ht="15" customHeight="1" x14ac:dyDescent="0.2">
      <c r="A34" s="484"/>
      <c r="B34" s="6" t="s">
        <v>2</v>
      </c>
      <c r="C34" s="183"/>
      <c r="D34" s="381">
        <f t="shared" si="0"/>
        <v>0</v>
      </c>
      <c r="E34" s="378"/>
      <c r="F34" s="376"/>
      <c r="G34" s="379"/>
      <c r="H34" s="173">
        <f t="shared" si="1"/>
        <v>0</v>
      </c>
      <c r="I34" s="375"/>
      <c r="J34" s="376"/>
      <c r="K34" s="377"/>
    </row>
    <row r="35" spans="1:11" ht="22.5" customHeight="1" x14ac:dyDescent="0.2">
      <c r="A35" s="485"/>
      <c r="B35" s="380" t="s">
        <v>315</v>
      </c>
      <c r="C35" s="183">
        <v>2</v>
      </c>
      <c r="D35" s="381">
        <f>E35+G35</f>
        <v>0.68</v>
      </c>
      <c r="E35" s="304">
        <v>0.68</v>
      </c>
      <c r="F35" s="127">
        <v>0.66800000000000004</v>
      </c>
      <c r="G35" s="379">
        <v>0</v>
      </c>
      <c r="H35" s="174">
        <f t="shared" si="1"/>
        <v>0</v>
      </c>
      <c r="I35" s="304"/>
      <c r="J35" s="127"/>
      <c r="K35" s="377"/>
    </row>
    <row r="36" spans="1:11" ht="22.5" customHeight="1" x14ac:dyDescent="0.2">
      <c r="A36" s="483" t="s">
        <v>136</v>
      </c>
      <c r="B36" s="37" t="s">
        <v>97</v>
      </c>
      <c r="C36" s="183"/>
      <c r="D36" s="173">
        <f t="shared" si="0"/>
        <v>1.44</v>
      </c>
      <c r="E36" s="378">
        <f>E38+E40</f>
        <v>1.44</v>
      </c>
      <c r="F36" s="376">
        <f>F38+F40</f>
        <v>0.27800000000000002</v>
      </c>
      <c r="G36" s="379">
        <f>G38+G40</f>
        <v>0</v>
      </c>
      <c r="H36" s="173">
        <f t="shared" si="1"/>
        <v>0</v>
      </c>
      <c r="I36" s="375">
        <f>I38</f>
        <v>0</v>
      </c>
      <c r="J36" s="376">
        <f>J38</f>
        <v>0</v>
      </c>
      <c r="K36" s="377"/>
    </row>
    <row r="37" spans="1:11" ht="15" customHeight="1" x14ac:dyDescent="0.2">
      <c r="A37" s="484"/>
      <c r="B37" s="6" t="s">
        <v>2</v>
      </c>
      <c r="C37" s="183"/>
      <c r="D37" s="381">
        <f t="shared" si="0"/>
        <v>0</v>
      </c>
      <c r="E37" s="378"/>
      <c r="F37" s="376"/>
      <c r="G37" s="379"/>
      <c r="H37" s="173">
        <f t="shared" si="1"/>
        <v>0</v>
      </c>
      <c r="I37" s="375"/>
      <c r="J37" s="376"/>
      <c r="K37" s="377"/>
    </row>
    <row r="38" spans="1:11" s="5" customFormat="1" ht="25.9" customHeight="1" x14ac:dyDescent="0.2">
      <c r="A38" s="484"/>
      <c r="B38" s="380" t="s">
        <v>315</v>
      </c>
      <c r="C38" s="387">
        <v>2</v>
      </c>
      <c r="D38" s="381">
        <f t="shared" si="0"/>
        <v>1.44</v>
      </c>
      <c r="E38" s="304">
        <v>1.44</v>
      </c>
      <c r="F38" s="83">
        <v>0.27800000000000002</v>
      </c>
      <c r="G38" s="379"/>
      <c r="H38" s="174">
        <f t="shared" si="1"/>
        <v>0</v>
      </c>
      <c r="I38" s="304"/>
      <c r="J38" s="83"/>
      <c r="K38" s="377"/>
    </row>
    <row r="39" spans="1:11" s="5" customFormat="1" ht="25.9" hidden="1" customHeight="1" x14ac:dyDescent="0.2">
      <c r="A39" s="484"/>
      <c r="B39" s="388" t="s">
        <v>331</v>
      </c>
      <c r="C39" s="387">
        <v>9</v>
      </c>
      <c r="D39" s="381">
        <f t="shared" si="0"/>
        <v>0</v>
      </c>
      <c r="E39" s="378"/>
      <c r="F39" s="376"/>
      <c r="G39" s="379"/>
      <c r="H39" s="173">
        <f t="shared" si="1"/>
        <v>0</v>
      </c>
      <c r="I39" s="375"/>
      <c r="J39" s="376"/>
      <c r="K39" s="377"/>
    </row>
    <row r="40" spans="1:11" s="5" customFormat="1" ht="25.9" hidden="1" customHeight="1" x14ac:dyDescent="0.2">
      <c r="A40" s="485"/>
      <c r="B40" s="388" t="s">
        <v>332</v>
      </c>
      <c r="C40" s="387">
        <v>10</v>
      </c>
      <c r="D40" s="381">
        <f t="shared" si="0"/>
        <v>0</v>
      </c>
      <c r="E40" s="142"/>
      <c r="F40" s="143"/>
      <c r="G40" s="385"/>
      <c r="H40" s="173">
        <f t="shared" si="1"/>
        <v>0</v>
      </c>
      <c r="I40" s="375"/>
      <c r="J40" s="376"/>
      <c r="K40" s="377"/>
    </row>
    <row r="41" spans="1:11" s="5" customFormat="1" ht="21.75" hidden="1" customHeight="1" x14ac:dyDescent="0.2">
      <c r="A41" s="483" t="s">
        <v>139</v>
      </c>
      <c r="B41" s="37" t="s">
        <v>18</v>
      </c>
      <c r="C41" s="183"/>
      <c r="D41" s="381">
        <f t="shared" si="0"/>
        <v>0</v>
      </c>
      <c r="E41" s="378">
        <f>E43</f>
        <v>0</v>
      </c>
      <c r="F41" s="376">
        <f>F43</f>
        <v>0</v>
      </c>
      <c r="G41" s="379">
        <f>G43</f>
        <v>0</v>
      </c>
      <c r="H41" s="173">
        <f t="shared" si="1"/>
        <v>0</v>
      </c>
      <c r="I41" s="375">
        <f>I43</f>
        <v>0</v>
      </c>
      <c r="J41" s="376">
        <f>J43</f>
        <v>0</v>
      </c>
      <c r="K41" s="377">
        <v>0</v>
      </c>
    </row>
    <row r="42" spans="1:11" s="5" customFormat="1" ht="15.75" hidden="1" customHeight="1" x14ac:dyDescent="0.2">
      <c r="A42" s="484"/>
      <c r="B42" s="6" t="s">
        <v>2</v>
      </c>
      <c r="C42" s="183"/>
      <c r="D42" s="381">
        <f t="shared" si="0"/>
        <v>0</v>
      </c>
      <c r="E42" s="378"/>
      <c r="F42" s="376"/>
      <c r="G42" s="379"/>
      <c r="H42" s="173">
        <f t="shared" si="1"/>
        <v>0</v>
      </c>
      <c r="I42" s="375"/>
      <c r="J42" s="376"/>
      <c r="K42" s="377"/>
    </row>
    <row r="43" spans="1:11" s="5" customFormat="1" ht="42" hidden="1" customHeight="1" x14ac:dyDescent="0.2">
      <c r="A43" s="485"/>
      <c r="B43" s="389" t="s">
        <v>333</v>
      </c>
      <c r="C43" s="183">
        <v>10</v>
      </c>
      <c r="D43" s="381">
        <f t="shared" si="0"/>
        <v>0</v>
      </c>
      <c r="E43" s="142"/>
      <c r="F43" s="143">
        <f>J43</f>
        <v>0</v>
      </c>
      <c r="G43" s="385">
        <v>0</v>
      </c>
      <c r="H43" s="173">
        <f t="shared" si="1"/>
        <v>0</v>
      </c>
      <c r="I43" s="382"/>
      <c r="J43" s="143"/>
      <c r="K43" s="377"/>
    </row>
    <row r="44" spans="1:11" ht="23.25" customHeight="1" x14ac:dyDescent="0.2">
      <c r="A44" s="483" t="s">
        <v>139</v>
      </c>
      <c r="B44" s="37" t="s">
        <v>16</v>
      </c>
      <c r="C44" s="183"/>
      <c r="D44" s="173">
        <f t="shared" si="0"/>
        <v>34.898000000000003</v>
      </c>
      <c r="E44" s="378">
        <f>E46</f>
        <v>34.898000000000003</v>
      </c>
      <c r="F44" s="376">
        <f>F46</f>
        <v>32</v>
      </c>
      <c r="G44" s="379">
        <f>G46</f>
        <v>0</v>
      </c>
      <c r="H44" s="173">
        <f t="shared" si="1"/>
        <v>34.898000000000003</v>
      </c>
      <c r="I44" s="375">
        <f>I46</f>
        <v>34.898000000000003</v>
      </c>
      <c r="J44" s="376">
        <f>J46</f>
        <v>32</v>
      </c>
      <c r="K44" s="377">
        <f>K46</f>
        <v>0</v>
      </c>
    </row>
    <row r="45" spans="1:11" ht="15.75" customHeight="1" x14ac:dyDescent="0.2">
      <c r="A45" s="484"/>
      <c r="B45" s="6" t="s">
        <v>2</v>
      </c>
      <c r="C45" s="183"/>
      <c r="D45" s="381">
        <f t="shared" si="0"/>
        <v>0</v>
      </c>
      <c r="E45" s="378"/>
      <c r="F45" s="376"/>
      <c r="G45" s="379"/>
      <c r="H45" s="173">
        <f t="shared" si="1"/>
        <v>0</v>
      </c>
      <c r="I45" s="375"/>
      <c r="J45" s="376"/>
      <c r="K45" s="377"/>
    </row>
    <row r="46" spans="1:11" ht="32.25" customHeight="1" x14ac:dyDescent="0.2">
      <c r="A46" s="485"/>
      <c r="B46" s="388" t="s">
        <v>334</v>
      </c>
      <c r="C46" s="387">
        <v>6</v>
      </c>
      <c r="D46" s="381">
        <f t="shared" si="0"/>
        <v>34.898000000000003</v>
      </c>
      <c r="E46" s="151">
        <f>I46</f>
        <v>34.898000000000003</v>
      </c>
      <c r="F46" s="152">
        <f>J46</f>
        <v>32</v>
      </c>
      <c r="G46" s="390">
        <f>K46</f>
        <v>0</v>
      </c>
      <c r="H46" s="174">
        <f t="shared" si="1"/>
        <v>34.898000000000003</v>
      </c>
      <c r="I46" s="391">
        <v>34.898000000000003</v>
      </c>
      <c r="J46" s="152">
        <v>32</v>
      </c>
      <c r="K46" s="392"/>
    </row>
    <row r="47" spans="1:11" ht="23.25" customHeight="1" x14ac:dyDescent="0.2">
      <c r="A47" s="483" t="s">
        <v>138</v>
      </c>
      <c r="B47" s="37" t="s">
        <v>152</v>
      </c>
      <c r="C47" s="183"/>
      <c r="D47" s="173">
        <f t="shared" si="0"/>
        <v>7.2999999999999995E-2</v>
      </c>
      <c r="E47" s="378">
        <f>E49</f>
        <v>7.2999999999999995E-2</v>
      </c>
      <c r="F47" s="376">
        <f>F49</f>
        <v>7.2999999999999995E-2</v>
      </c>
      <c r="G47" s="379">
        <f>G49</f>
        <v>0</v>
      </c>
      <c r="H47" s="173">
        <f t="shared" si="1"/>
        <v>7.2999999999999995E-2</v>
      </c>
      <c r="I47" s="375">
        <f>I49</f>
        <v>7.2999999999999995E-2</v>
      </c>
      <c r="J47" s="376">
        <f>J49</f>
        <v>7.2999999999999995E-2</v>
      </c>
      <c r="K47" s="377">
        <f>K49</f>
        <v>0</v>
      </c>
    </row>
    <row r="48" spans="1:11" ht="15.75" customHeight="1" x14ac:dyDescent="0.2">
      <c r="A48" s="484"/>
      <c r="B48" s="6" t="s">
        <v>2</v>
      </c>
      <c r="C48" s="183"/>
      <c r="D48" s="381">
        <f t="shared" si="0"/>
        <v>0</v>
      </c>
      <c r="E48" s="378">
        <v>0</v>
      </c>
      <c r="F48" s="376">
        <v>0</v>
      </c>
      <c r="G48" s="379">
        <v>0</v>
      </c>
      <c r="H48" s="173">
        <f t="shared" si="1"/>
        <v>0</v>
      </c>
      <c r="I48" s="375"/>
      <c r="J48" s="376"/>
      <c r="K48" s="377"/>
    </row>
    <row r="49" spans="1:11" ht="32.25" customHeight="1" thickBot="1" x14ac:dyDescent="0.25">
      <c r="A49" s="485"/>
      <c r="B49" s="388" t="s">
        <v>335</v>
      </c>
      <c r="C49" s="387">
        <v>6</v>
      </c>
      <c r="D49" s="381">
        <f t="shared" si="0"/>
        <v>7.2999999999999995E-2</v>
      </c>
      <c r="E49" s="151">
        <f>I49</f>
        <v>7.2999999999999995E-2</v>
      </c>
      <c r="F49" s="152">
        <f>J49</f>
        <v>7.2999999999999995E-2</v>
      </c>
      <c r="G49" s="390">
        <f>K49</f>
        <v>0</v>
      </c>
      <c r="H49" s="174">
        <f t="shared" si="1"/>
        <v>7.2999999999999995E-2</v>
      </c>
      <c r="I49" s="391">
        <v>7.2999999999999995E-2</v>
      </c>
      <c r="J49" s="393">
        <v>7.2999999999999995E-2</v>
      </c>
      <c r="K49" s="392"/>
    </row>
    <row r="50" spans="1:11" ht="16.5" thickBot="1" x14ac:dyDescent="0.3">
      <c r="A50" s="26"/>
      <c r="B50" s="359" t="s">
        <v>266</v>
      </c>
      <c r="C50" s="186"/>
      <c r="D50" s="394">
        <f t="shared" ref="D50:K50" si="3">SUM(D14,D33,D36,D41,D44,D47)</f>
        <v>525.11799999999994</v>
      </c>
      <c r="E50" s="395">
        <f t="shared" si="3"/>
        <v>72.437999999999988</v>
      </c>
      <c r="F50" s="156">
        <f t="shared" si="3"/>
        <v>37.866999999999997</v>
      </c>
      <c r="G50" s="157">
        <f t="shared" si="3"/>
        <v>452.68</v>
      </c>
      <c r="H50" s="394">
        <f t="shared" si="3"/>
        <v>484.97800000000001</v>
      </c>
      <c r="I50" s="395">
        <f t="shared" si="3"/>
        <v>46.189000000000007</v>
      </c>
      <c r="J50" s="156">
        <f t="shared" si="3"/>
        <v>36.920999999999999</v>
      </c>
      <c r="K50" s="157">
        <f t="shared" si="3"/>
        <v>438.78899999999999</v>
      </c>
    </row>
    <row r="51" spans="1:11" ht="12.75" x14ac:dyDescent="0.2">
      <c r="A51" s="519"/>
      <c r="B51" s="396" t="s">
        <v>2</v>
      </c>
      <c r="C51" s="397"/>
      <c r="D51" s="398"/>
      <c r="E51" s="399"/>
      <c r="F51" s="400"/>
      <c r="G51" s="401"/>
      <c r="H51" s="398"/>
      <c r="I51" s="399"/>
      <c r="J51" s="400"/>
      <c r="K51" s="401"/>
    </row>
    <row r="52" spans="1:11" ht="12.75" x14ac:dyDescent="0.2">
      <c r="A52" s="520"/>
      <c r="B52" s="402" t="s">
        <v>267</v>
      </c>
      <c r="C52" s="403"/>
      <c r="D52" s="374">
        <f t="shared" ref="D52:K52" si="4">SUM(D16)</f>
        <v>3.5750000000000002</v>
      </c>
      <c r="E52" s="375">
        <f t="shared" si="4"/>
        <v>3.5750000000000002</v>
      </c>
      <c r="F52" s="376">
        <f t="shared" si="4"/>
        <v>0</v>
      </c>
      <c r="G52" s="377">
        <f t="shared" si="4"/>
        <v>0</v>
      </c>
      <c r="H52" s="374">
        <f t="shared" si="4"/>
        <v>3.5750000000000002</v>
      </c>
      <c r="I52" s="375">
        <f t="shared" si="4"/>
        <v>3.5750000000000002</v>
      </c>
      <c r="J52" s="376">
        <f t="shared" si="4"/>
        <v>0</v>
      </c>
      <c r="K52" s="377">
        <f t="shared" si="4"/>
        <v>0</v>
      </c>
    </row>
    <row r="53" spans="1:11" ht="12.75" x14ac:dyDescent="0.2">
      <c r="A53" s="520"/>
      <c r="B53" s="404" t="s">
        <v>280</v>
      </c>
      <c r="C53" s="405"/>
      <c r="D53" s="374">
        <f t="shared" ref="D53:K53" si="5">SUM(D17,D35,D38)</f>
        <v>5.26</v>
      </c>
      <c r="E53" s="375">
        <f t="shared" si="5"/>
        <v>5.26</v>
      </c>
      <c r="F53" s="375">
        <f t="shared" si="5"/>
        <v>0.94600000000000006</v>
      </c>
      <c r="G53" s="375">
        <f t="shared" si="5"/>
        <v>0</v>
      </c>
      <c r="H53" s="374">
        <f t="shared" si="5"/>
        <v>0</v>
      </c>
      <c r="I53" s="375">
        <f t="shared" si="5"/>
        <v>0</v>
      </c>
      <c r="J53" s="375">
        <f t="shared" si="5"/>
        <v>0</v>
      </c>
      <c r="K53" s="377">
        <f t="shared" si="5"/>
        <v>0</v>
      </c>
    </row>
    <row r="54" spans="1:11" ht="12.75" x14ac:dyDescent="0.2">
      <c r="A54" s="520"/>
      <c r="B54" s="404" t="s">
        <v>281</v>
      </c>
      <c r="C54" s="405"/>
      <c r="D54" s="374">
        <f>D18</f>
        <v>6.3360000000000003</v>
      </c>
      <c r="E54" s="375">
        <f>E18</f>
        <v>6.3360000000000003</v>
      </c>
      <c r="F54" s="376">
        <f>F18</f>
        <v>4.2670000000000003</v>
      </c>
      <c r="G54" s="377">
        <v>0</v>
      </c>
      <c r="H54" s="374">
        <f>H18</f>
        <v>6.3360000000000003</v>
      </c>
      <c r="I54" s="375">
        <f>I18</f>
        <v>6.3360000000000003</v>
      </c>
      <c r="J54" s="376">
        <f>J18</f>
        <v>4.2670000000000003</v>
      </c>
      <c r="K54" s="377">
        <v>0</v>
      </c>
    </row>
    <row r="55" spans="1:11" ht="12.75" x14ac:dyDescent="0.2">
      <c r="A55" s="520"/>
      <c r="B55" s="404" t="s">
        <v>268</v>
      </c>
      <c r="C55" s="405"/>
      <c r="D55" s="374">
        <f>D19+D46+D20+D21+D49</f>
        <v>76.932000000000002</v>
      </c>
      <c r="E55" s="375">
        <f>E19+E46+E20+E21+E49</f>
        <v>34.971000000000004</v>
      </c>
      <c r="F55" s="376">
        <f>F19+F46+F20+F21+F49</f>
        <v>32.073</v>
      </c>
      <c r="G55" s="376">
        <f>G19+G46+G20+G21+G49</f>
        <v>41.960999999999999</v>
      </c>
      <c r="H55" s="374">
        <f>H19+H46+H20+H49</f>
        <v>76.932000000000002</v>
      </c>
      <c r="I55" s="375">
        <f>I19+I46+I20+I49</f>
        <v>34.971000000000004</v>
      </c>
      <c r="J55" s="376">
        <f>J19+J46+J20+J49</f>
        <v>32.073</v>
      </c>
      <c r="K55" s="377">
        <f>K19+K46+K20+K49</f>
        <v>41.960999999999999</v>
      </c>
    </row>
    <row r="56" spans="1:11" ht="12.75" customHeight="1" x14ac:dyDescent="0.2">
      <c r="A56" s="520"/>
      <c r="B56" s="404" t="s">
        <v>269</v>
      </c>
      <c r="C56" s="406"/>
      <c r="D56" s="374">
        <f>D22+D23</f>
        <v>16.48</v>
      </c>
      <c r="E56" s="375">
        <f>E22+E23</f>
        <v>16.48</v>
      </c>
      <c r="F56" s="376">
        <v>0</v>
      </c>
      <c r="G56" s="377">
        <v>0</v>
      </c>
      <c r="H56" s="374">
        <f>H22</f>
        <v>0</v>
      </c>
      <c r="I56" s="375">
        <f>I22</f>
        <v>0</v>
      </c>
      <c r="J56" s="376">
        <v>0</v>
      </c>
      <c r="K56" s="377">
        <v>0</v>
      </c>
    </row>
    <row r="57" spans="1:11" ht="12.75" hidden="1" customHeight="1" x14ac:dyDescent="0.2">
      <c r="A57" s="520"/>
      <c r="B57" s="404" t="s">
        <v>288</v>
      </c>
      <c r="C57" s="406"/>
      <c r="D57" s="374">
        <f t="shared" ref="D57:K57" si="6">D24</f>
        <v>0</v>
      </c>
      <c r="E57" s="375">
        <f t="shared" si="6"/>
        <v>0</v>
      </c>
      <c r="F57" s="376">
        <f t="shared" si="6"/>
        <v>0</v>
      </c>
      <c r="G57" s="377">
        <f t="shared" si="6"/>
        <v>0</v>
      </c>
      <c r="H57" s="374">
        <f t="shared" si="6"/>
        <v>0</v>
      </c>
      <c r="I57" s="375">
        <f t="shared" si="6"/>
        <v>0</v>
      </c>
      <c r="J57" s="376">
        <f t="shared" si="6"/>
        <v>0</v>
      </c>
      <c r="K57" s="377">
        <f t="shared" si="6"/>
        <v>0</v>
      </c>
    </row>
    <row r="58" spans="1:11" ht="12.75" x14ac:dyDescent="0.2">
      <c r="A58" s="520"/>
      <c r="B58" s="404" t="s">
        <v>270</v>
      </c>
      <c r="C58" s="405"/>
      <c r="D58" s="374">
        <f>D25+D39+D27+D26</f>
        <v>398.13499999999999</v>
      </c>
      <c r="E58" s="375">
        <f>E25+E39+E27+E26</f>
        <v>1.3069999999999999</v>
      </c>
      <c r="F58" s="376">
        <f>F25+F39+F26</f>
        <v>0.58099999999999996</v>
      </c>
      <c r="G58" s="377">
        <f>G25+G39+G27</f>
        <v>396.82799999999997</v>
      </c>
      <c r="H58" s="374">
        <f>H25+H39+H27+H26</f>
        <v>398.13499999999999</v>
      </c>
      <c r="I58" s="375">
        <f>I25+I39+I27+I26</f>
        <v>1.3069999999999999</v>
      </c>
      <c r="J58" s="376">
        <f>J25+J39+J26</f>
        <v>0.58099999999999996</v>
      </c>
      <c r="K58" s="377">
        <f>K25+K39+K27</f>
        <v>396.82799999999997</v>
      </c>
    </row>
    <row r="59" spans="1:11" ht="13.5" thickBot="1" x14ac:dyDescent="0.25">
      <c r="A59" s="521"/>
      <c r="B59" s="407" t="s">
        <v>311</v>
      </c>
      <c r="C59" s="408"/>
      <c r="D59" s="409">
        <f>D32+D43+D28+D40+D29+D31+D30</f>
        <v>18.399999999999999</v>
      </c>
      <c r="E59" s="410">
        <f>E32+E43+E28+E40+E29+E31+E30</f>
        <v>4.5090000000000003</v>
      </c>
      <c r="F59" s="411">
        <f>SUM(F43,F40)</f>
        <v>0</v>
      </c>
      <c r="G59" s="412">
        <f>G32+G43+G28+G40+G29+G31+G30</f>
        <v>13.891</v>
      </c>
      <c r="H59" s="409">
        <f>H32+H43+H28+H40+H29+H31</f>
        <v>0</v>
      </c>
      <c r="I59" s="410">
        <f>I32+I43+I28+I40+I29+I31</f>
        <v>0</v>
      </c>
      <c r="J59" s="411">
        <f>SUM(J43)</f>
        <v>0</v>
      </c>
      <c r="K59" s="412">
        <f>K32+K43+K28+K40+K29+K31</f>
        <v>0</v>
      </c>
    </row>
    <row r="60" spans="1:11" x14ac:dyDescent="0.2">
      <c r="C60" s="413"/>
      <c r="D60" s="414"/>
      <c r="E60" s="415"/>
      <c r="F60" s="415"/>
      <c r="G60" s="415"/>
    </row>
  </sheetData>
  <sheetProtection algorithmName="SHA-512" hashValue="fbGv1BG5c/0Zrhfs2kZjyqdC2leeBnNLZp1Su9j62LCtik49rI/1m23jJG30Yy2ez3l5Oo3XPR8IxEie2xqkDQ==" saltValue="nGtXFMedl2/qgA4fMS0+JA==" spinCount="100000" sheet="1" objects="1" scenarios="1"/>
  <mergeCells count="25">
    <mergeCell ref="I11:I12"/>
    <mergeCell ref="J11:J12"/>
    <mergeCell ref="A51:A59"/>
    <mergeCell ref="A14:A32"/>
    <mergeCell ref="A33:A35"/>
    <mergeCell ref="A36:A40"/>
    <mergeCell ref="A41:A43"/>
    <mergeCell ref="A44:A46"/>
    <mergeCell ref="A47:A49"/>
    <mergeCell ref="A6:K6"/>
    <mergeCell ref="A8:A12"/>
    <mergeCell ref="B8:B12"/>
    <mergeCell ref="C8:C12"/>
    <mergeCell ref="D8:D12"/>
    <mergeCell ref="E8:G8"/>
    <mergeCell ref="H8:K8"/>
    <mergeCell ref="E9:G9"/>
    <mergeCell ref="H9:H12"/>
    <mergeCell ref="I9:K9"/>
    <mergeCell ref="E10:F10"/>
    <mergeCell ref="G10:G12"/>
    <mergeCell ref="I10:J10"/>
    <mergeCell ref="K10:K12"/>
    <mergeCell ref="E11:E12"/>
    <mergeCell ref="F11:F12"/>
  </mergeCells>
  <conditionalFormatting sqref="H51:K51 D14:K15 K46 H37:H49 I37:K45 K36 D39:D49 E39:G46 G38 H34:K35 K33 D36:G37 G35 H16:K32 D33:G34">
    <cfRule type="cellIs" dxfId="20" priority="21" stopIfTrue="1" operator="equal">
      <formula>0</formula>
    </cfRule>
  </conditionalFormatting>
  <conditionalFormatting sqref="H52:K57 H59:K59">
    <cfRule type="cellIs" dxfId="19" priority="20" stopIfTrue="1" operator="equal">
      <formula>0</formula>
    </cfRule>
  </conditionalFormatting>
  <conditionalFormatting sqref="E47:G48 I47:K49">
    <cfRule type="cellIs" dxfId="18" priority="19" stopIfTrue="1" operator="equal">
      <formula>0</formula>
    </cfRule>
  </conditionalFormatting>
  <conditionalFormatting sqref="D52:G54 D56:G57 D59:G59">
    <cfRule type="cellIs" dxfId="17" priority="17" stopIfTrue="1" operator="equal">
      <formula>0</formula>
    </cfRule>
  </conditionalFormatting>
  <conditionalFormatting sqref="D51:G51">
    <cfRule type="cellIs" dxfId="16" priority="18" stopIfTrue="1" operator="equal">
      <formula>0</formula>
    </cfRule>
  </conditionalFormatting>
  <conditionalFormatting sqref="D50:G50">
    <cfRule type="cellIs" dxfId="15" priority="16" stopIfTrue="1" operator="equal">
      <formula>0</formula>
    </cfRule>
  </conditionalFormatting>
  <conditionalFormatting sqref="D55:G55">
    <cfRule type="cellIs" dxfId="14" priority="15" stopIfTrue="1" operator="equal">
      <formula>0</formula>
    </cfRule>
  </conditionalFormatting>
  <conditionalFormatting sqref="I46:J46">
    <cfRule type="cellIs" dxfId="13" priority="14" stopIfTrue="1" operator="equal">
      <formula>0</formula>
    </cfRule>
  </conditionalFormatting>
  <conditionalFormatting sqref="E49:G49">
    <cfRule type="cellIs" dxfId="12" priority="13" stopIfTrue="1" operator="equal">
      <formula>0</formula>
    </cfRule>
  </conditionalFormatting>
  <conditionalFormatting sqref="H36:J36">
    <cfRule type="cellIs" dxfId="11" priority="12" stopIfTrue="1" operator="equal">
      <formula>0</formula>
    </cfRule>
  </conditionalFormatting>
  <conditionalFormatting sqref="D38">
    <cfRule type="cellIs" dxfId="10" priority="11" stopIfTrue="1" operator="equal">
      <formula>0</formula>
    </cfRule>
  </conditionalFormatting>
  <conditionalFormatting sqref="H33:J33">
    <cfRule type="cellIs" dxfId="9" priority="10" stopIfTrue="1" operator="equal">
      <formula>0</formula>
    </cfRule>
  </conditionalFormatting>
  <conditionalFormatting sqref="D35">
    <cfRule type="cellIs" dxfId="8" priority="9" stopIfTrue="1" operator="equal">
      <formula>0</formula>
    </cfRule>
  </conditionalFormatting>
  <conditionalFormatting sqref="G16:G32">
    <cfRule type="cellIs" dxfId="7" priority="8" stopIfTrue="1" operator="equal">
      <formula>0</formula>
    </cfRule>
  </conditionalFormatting>
  <conditionalFormatting sqref="D16:F16 D17 F17 D18:F32">
    <cfRule type="cellIs" dxfId="6" priority="7" stopIfTrue="1" operator="equal">
      <formula>0</formula>
    </cfRule>
  </conditionalFormatting>
  <conditionalFormatting sqref="E38:F38">
    <cfRule type="cellIs" dxfId="5" priority="6" stopIfTrue="1" operator="equal">
      <formula>0</formula>
    </cfRule>
  </conditionalFormatting>
  <conditionalFormatting sqref="E35:F35">
    <cfRule type="cellIs" dxfId="4" priority="5" stopIfTrue="1" operator="equal">
      <formula>0</formula>
    </cfRule>
  </conditionalFormatting>
  <conditionalFormatting sqref="E17">
    <cfRule type="cellIs" dxfId="3" priority="4" stopIfTrue="1" operator="equal">
      <formula>0</formula>
    </cfRule>
  </conditionalFormatting>
  <conditionalFormatting sqref="H50:K50">
    <cfRule type="cellIs" dxfId="2" priority="3" stopIfTrue="1" operator="equal">
      <formula>0</formula>
    </cfRule>
  </conditionalFormatting>
  <conditionalFormatting sqref="H58:K58">
    <cfRule type="cellIs" dxfId="1" priority="2" stopIfTrue="1" operator="equal">
      <formula>0</formula>
    </cfRule>
  </conditionalFormatting>
  <conditionalFormatting sqref="D58:G58">
    <cfRule type="cellIs" dxfId="0" priority="1" stopIfTrue="1" operator="equal">
      <formula>0</formula>
    </cfRule>
  </conditionalFormatting>
  <pageMargins left="0.7" right="0.7" top="0.75" bottom="0.75" header="0.3" footer="0.3"/>
  <pageSetup paperSize="9" scale="8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6</vt:i4>
      </vt:variant>
      <vt:variant>
        <vt:lpstr>Įvardinti diapazonai</vt:lpstr>
      </vt:variant>
      <vt:variant>
        <vt:i4>1</vt:i4>
      </vt:variant>
    </vt:vector>
  </HeadingPairs>
  <TitlesOfParts>
    <vt:vector size="7" baseType="lpstr">
      <vt:lpstr>SB_IP_paskola</vt:lpstr>
      <vt:lpstr>VDF</vt:lpstr>
      <vt:lpstr>MK</vt:lpstr>
      <vt:lpstr>SP</vt:lpstr>
      <vt:lpstr>SD</vt:lpstr>
      <vt:lpstr>ES</vt:lpstr>
      <vt:lpstr>SB_IP_paskola!Print_Titles</vt:lpstr>
    </vt:vector>
  </TitlesOfParts>
  <Company>Visagino savivaldybės administracija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Olesia Saratova</dc:creator>
  <cp:lastModifiedBy>User</cp:lastModifiedBy>
  <cp:lastPrinted>2020-01-28T10:04:35Z</cp:lastPrinted>
  <dcterms:created xsi:type="dcterms:W3CDTF">2004-01-21T14:05:06Z</dcterms:created>
  <dcterms:modified xsi:type="dcterms:W3CDTF">2020-01-31T11:07:50Z</dcterms:modified>
</cp:coreProperties>
</file>