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TARYBOS SPRENDIMAI\2022 m. biudzetas\Pristatymas internetu\"/>
    </mc:Choice>
  </mc:AlternateContent>
  <xr:revisionPtr revIDLastSave="0" documentId="13_ncr:1_{AAE2F664-17C9-4D3D-9614-3164D63BAC9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2022 m.  pajamos (2)" sheetId="7" r:id="rId1"/>
    <sheet name="duomenys finansų ministerijai" sheetId="8" r:id="rId2"/>
    <sheet name="2021 m. sav. funkc pajamos" sheetId="6" r:id="rId3"/>
    <sheet name="projektas II var (patikslintas)" sheetId="5" r:id="rId4"/>
    <sheet name="Lapas1 (2)" sheetId="4" r:id="rId5"/>
    <sheet name="projektas I var" sheetId="1" r:id="rId6"/>
    <sheet name="Lapas2" sheetId="2" r:id="rId7"/>
    <sheet name="Lapas3" sheetId="3" r:id="rId8"/>
  </sheets>
  <definedNames>
    <definedName name="_xlnm.Print_Titles" localSheetId="2">'2021 m. sav. funkc pajamos'!$4:$5</definedName>
    <definedName name="_xlnm.Print_Titles" localSheetId="0">'2022 m.  pajamos (2)'!$4:$5</definedName>
    <definedName name="_xlnm.Print_Titles" localSheetId="1">'duomenys finansų ministerijai'!$4:$4</definedName>
    <definedName name="_xlnm.Print_Titles" localSheetId="4">'Lapas1 (2)'!$4:$5</definedName>
    <definedName name="_xlnm.Print_Titles" localSheetId="5">'projektas I var'!$4:$5</definedName>
    <definedName name="_xlnm.Print_Titles" localSheetId="3">'projektas II var (patikslintas)'!$4:$5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7" l="1"/>
  <c r="Q28" i="7"/>
  <c r="Q112" i="7" l="1"/>
  <c r="N102" i="7" l="1"/>
  <c r="O98" i="7"/>
  <c r="P98" i="7"/>
  <c r="V98" i="7"/>
  <c r="U120" i="7" l="1"/>
  <c r="Q132" i="7"/>
  <c r="W85" i="7" l="1"/>
  <c r="U85" i="7"/>
  <c r="T85" i="7"/>
  <c r="S85" i="7"/>
  <c r="R85" i="7"/>
  <c r="Q85" i="7"/>
  <c r="N85" i="7"/>
  <c r="W124" i="7"/>
  <c r="V124" i="7"/>
  <c r="R124" i="7"/>
  <c r="Q123" i="7"/>
  <c r="Q122" i="7"/>
  <c r="Q124" i="7" s="1"/>
  <c r="T119" i="7"/>
  <c r="T124" i="7" s="1"/>
  <c r="U124" i="7"/>
  <c r="S118" i="7"/>
  <c r="S117" i="7"/>
  <c r="S124" i="7" l="1"/>
  <c r="P124" i="7" l="1"/>
  <c r="R125" i="7"/>
  <c r="V105" i="7"/>
  <c r="U105" i="7"/>
  <c r="T105" i="7"/>
  <c r="S105" i="7"/>
  <c r="R105" i="7"/>
  <c r="Q105" i="7"/>
  <c r="N105" i="7"/>
  <c r="M105" i="7"/>
  <c r="L105" i="7"/>
  <c r="K105" i="7"/>
  <c r="J105" i="7"/>
  <c r="P101" i="7"/>
  <c r="O101" i="7"/>
  <c r="P100" i="7"/>
  <c r="O100" i="7"/>
  <c r="P99" i="7"/>
  <c r="O99" i="7"/>
  <c r="P97" i="7"/>
  <c r="O97" i="7"/>
  <c r="P96" i="7"/>
  <c r="O96" i="7"/>
  <c r="P95" i="7"/>
  <c r="O95" i="7"/>
  <c r="P94" i="7"/>
  <c r="O94" i="7"/>
  <c r="P93" i="7"/>
  <c r="O93" i="7"/>
  <c r="P92" i="7"/>
  <c r="O92" i="7"/>
  <c r="P91" i="7"/>
  <c r="O91" i="7"/>
  <c r="P90" i="7"/>
  <c r="O90" i="7"/>
  <c r="P88" i="7"/>
  <c r="O88" i="7"/>
  <c r="P87" i="7"/>
  <c r="P86" i="7"/>
  <c r="O86" i="7"/>
  <c r="P73" i="7"/>
  <c r="P72" i="7"/>
  <c r="P71" i="7"/>
  <c r="P84" i="7"/>
  <c r="O84" i="7"/>
  <c r="P83" i="7"/>
  <c r="O83" i="7"/>
  <c r="P80" i="7"/>
  <c r="O80" i="7"/>
  <c r="P79" i="7"/>
  <c r="O79" i="7"/>
  <c r="P78" i="7"/>
  <c r="O78" i="7"/>
  <c r="P77" i="7"/>
  <c r="O77" i="7"/>
  <c r="P76" i="7"/>
  <c r="O76" i="7"/>
  <c r="V96" i="7" l="1"/>
  <c r="W102" i="7" l="1"/>
  <c r="U102" i="7"/>
  <c r="T102" i="7"/>
  <c r="S102" i="7"/>
  <c r="R102" i="7"/>
  <c r="Q102" i="7"/>
  <c r="V99" i="7" l="1"/>
  <c r="V97" i="7"/>
  <c r="V95" i="7"/>
  <c r="V101" i="7" l="1"/>
  <c r="V100" i="7"/>
  <c r="V94" i="7"/>
  <c r="V93" i="7"/>
  <c r="V92" i="7"/>
  <c r="V91" i="7"/>
  <c r="V90" i="7"/>
  <c r="V88" i="7"/>
  <c r="V87" i="7"/>
  <c r="V86" i="7"/>
  <c r="V84" i="7"/>
  <c r="V83" i="7"/>
  <c r="V82" i="7"/>
  <c r="V81" i="7"/>
  <c r="V80" i="7"/>
  <c r="V79" i="7"/>
  <c r="V78" i="7"/>
  <c r="W75" i="7"/>
  <c r="V75" i="7"/>
  <c r="T75" i="7"/>
  <c r="S75" i="7"/>
  <c r="R75" i="7"/>
  <c r="Q75" i="7"/>
  <c r="P75" i="7"/>
  <c r="S60" i="7"/>
  <c r="S113" i="7" s="1"/>
  <c r="S58" i="7"/>
  <c r="W49" i="7"/>
  <c r="V49" i="7"/>
  <c r="U49" i="7"/>
  <c r="P110" i="7"/>
  <c r="P109" i="7"/>
  <c r="O110" i="7"/>
  <c r="O109" i="7"/>
  <c r="P104" i="7"/>
  <c r="P103" i="7"/>
  <c r="M102" i="7"/>
  <c r="L102" i="7"/>
  <c r="K102" i="7"/>
  <c r="J102" i="7"/>
  <c r="O82" i="7"/>
  <c r="O81" i="7"/>
  <c r="M85" i="7"/>
  <c r="L85" i="7"/>
  <c r="K85" i="7"/>
  <c r="J85" i="7"/>
  <c r="O102" i="7" l="1"/>
  <c r="P102" i="7"/>
  <c r="V102" i="7"/>
  <c r="O85" i="7"/>
  <c r="J49" i="7" l="1"/>
  <c r="P69" i="7"/>
  <c r="P68" i="7"/>
  <c r="P67" i="7"/>
  <c r="P66" i="7"/>
  <c r="P65" i="7"/>
  <c r="P64" i="7"/>
  <c r="P57" i="7"/>
  <c r="P54" i="7"/>
  <c r="P53" i="7"/>
  <c r="P52" i="7"/>
  <c r="O73" i="7"/>
  <c r="O72" i="7"/>
  <c r="O71" i="7"/>
  <c r="O69" i="7"/>
  <c r="O67" i="7"/>
  <c r="O66" i="7"/>
  <c r="O65" i="7"/>
  <c r="O64" i="7"/>
  <c r="O57" i="7"/>
  <c r="O54" i="7"/>
  <c r="O53" i="7"/>
  <c r="O52" i="7"/>
  <c r="N75" i="7"/>
  <c r="M75" i="7"/>
  <c r="L75" i="7"/>
  <c r="K75" i="7"/>
  <c r="J75" i="7"/>
  <c r="P48" i="7"/>
  <c r="P47" i="7"/>
  <c r="P46" i="7"/>
  <c r="Q69" i="7"/>
  <c r="Q68" i="7"/>
  <c r="Q67" i="7"/>
  <c r="Q66" i="7"/>
  <c r="Q65" i="7"/>
  <c r="Q64" i="7"/>
  <c r="N61" i="7"/>
  <c r="M61" i="7"/>
  <c r="L61" i="7"/>
  <c r="K61" i="7"/>
  <c r="I61" i="7"/>
  <c r="U73" i="7"/>
  <c r="U72" i="7"/>
  <c r="U71" i="7"/>
  <c r="S57" i="7"/>
  <c r="R55" i="7"/>
  <c r="R49" i="7" s="1"/>
  <c r="Q55" i="7"/>
  <c r="N55" i="7"/>
  <c r="M55" i="7"/>
  <c r="L55" i="7"/>
  <c r="K55" i="7"/>
  <c r="I55" i="7"/>
  <c r="T54" i="7"/>
  <c r="T53" i="7"/>
  <c r="T52" i="7"/>
  <c r="N50" i="7"/>
  <c r="M50" i="7"/>
  <c r="L50" i="7"/>
  <c r="K50" i="7"/>
  <c r="I50" i="7"/>
  <c r="H49" i="7"/>
  <c r="N49" i="7" l="1"/>
  <c r="S55" i="7"/>
  <c r="S49" i="7" s="1"/>
  <c r="S114" i="7"/>
  <c r="M49" i="7"/>
  <c r="U75" i="7"/>
  <c r="O75" i="7"/>
  <c r="P55" i="7"/>
  <c r="K49" i="7"/>
  <c r="O50" i="7"/>
  <c r="O61" i="7"/>
  <c r="L49" i="7"/>
  <c r="P61" i="7"/>
  <c r="P50" i="7"/>
  <c r="O55" i="7"/>
  <c r="I49" i="7"/>
  <c r="Q61" i="7"/>
  <c r="Q49" i="7" s="1"/>
  <c r="T50" i="7"/>
  <c r="T49" i="7" s="1"/>
  <c r="P49" i="7" l="1"/>
  <c r="O49" i="7"/>
  <c r="P33" i="7" l="1"/>
  <c r="P32" i="7"/>
  <c r="P31" i="7"/>
  <c r="P30" i="7"/>
  <c r="O32" i="7"/>
  <c r="O31" i="7"/>
  <c r="O30" i="7"/>
  <c r="O29" i="7"/>
  <c r="P29" i="7"/>
  <c r="P12" i="7"/>
  <c r="O12" i="7"/>
  <c r="P11" i="7"/>
  <c r="O11" i="7"/>
  <c r="P10" i="7"/>
  <c r="O10" i="7"/>
  <c r="N35" i="7"/>
  <c r="N34" i="7" s="1"/>
  <c r="H25" i="8" l="1"/>
  <c r="G25" i="8"/>
  <c r="F25" i="8"/>
  <c r="H6" i="8"/>
  <c r="G6" i="8"/>
  <c r="F6" i="8"/>
  <c r="D5" i="8" l="1"/>
  <c r="C6" i="8"/>
  <c r="E6" i="8"/>
  <c r="H46" i="8"/>
  <c r="G46" i="8"/>
  <c r="F46" i="8"/>
  <c r="E46" i="8"/>
  <c r="D46" i="8"/>
  <c r="H17" i="8"/>
  <c r="G17" i="8"/>
  <c r="F17" i="8"/>
  <c r="E17" i="8"/>
  <c r="D17" i="8"/>
  <c r="C17" i="8"/>
  <c r="H34" i="8"/>
  <c r="G34" i="8"/>
  <c r="F34" i="8"/>
  <c r="E34" i="8"/>
  <c r="D34" i="8"/>
  <c r="C25" i="8"/>
  <c r="E25" i="8" l="1"/>
  <c r="E5" i="8" s="1"/>
  <c r="H29" i="8"/>
  <c r="G29" i="8"/>
  <c r="F29" i="8"/>
  <c r="E29" i="8"/>
  <c r="D29" i="8"/>
  <c r="H40" i="8"/>
  <c r="G40" i="8"/>
  <c r="F40" i="8"/>
  <c r="E40" i="8"/>
  <c r="D40" i="8"/>
  <c r="D55" i="8" s="1"/>
  <c r="H11" i="8"/>
  <c r="H5" i="8" s="1"/>
  <c r="H55" i="8" s="1"/>
  <c r="G11" i="8"/>
  <c r="G5" i="8" s="1"/>
  <c r="G55" i="8" s="1"/>
  <c r="F11" i="8"/>
  <c r="F5" i="8" s="1"/>
  <c r="F55" i="8" s="1"/>
  <c r="C46" i="8"/>
  <c r="C40" i="8"/>
  <c r="C34" i="8"/>
  <c r="C5" i="8"/>
  <c r="C55" i="8" s="1"/>
  <c r="C29" i="8"/>
  <c r="E55" i="8" l="1"/>
  <c r="M35" i="7"/>
  <c r="M34" i="7" s="1"/>
  <c r="M13" i="7"/>
  <c r="O35" i="7" l="1"/>
  <c r="P35" i="7"/>
  <c r="O34" i="7"/>
  <c r="P34" i="7"/>
  <c r="M7" i="7"/>
  <c r="N26" i="7"/>
  <c r="P82" i="7"/>
  <c r="P81" i="7"/>
  <c r="P85" i="7" l="1"/>
  <c r="M6" i="7"/>
  <c r="V77" i="7"/>
  <c r="V76" i="7"/>
  <c r="W103" i="7"/>
  <c r="W104" i="7"/>
  <c r="V85" i="7" l="1"/>
  <c r="W105" i="7"/>
  <c r="W143" i="7" s="1"/>
  <c r="W144" i="7" s="1"/>
  <c r="M70" i="7"/>
  <c r="M106" i="7" s="1"/>
  <c r="AH33" i="6"/>
  <c r="M108" i="7" l="1"/>
  <c r="M111" i="7" s="1"/>
  <c r="AH6" i="6"/>
  <c r="AH70" i="6" s="1"/>
  <c r="Q12" i="7" l="1"/>
  <c r="Q11" i="7"/>
  <c r="Q10" i="7"/>
  <c r="N107" i="7" l="1"/>
  <c r="H85" i="7"/>
  <c r="O104" i="7"/>
  <c r="O103" i="7"/>
  <c r="Q48" i="7"/>
  <c r="Q47" i="7"/>
  <c r="Q46" i="7"/>
  <c r="Q45" i="7"/>
  <c r="Q44" i="7"/>
  <c r="Q43" i="7"/>
  <c r="Q42" i="7"/>
  <c r="Q41" i="7"/>
  <c r="Q39" i="7"/>
  <c r="Q38" i="7"/>
  <c r="Q37" i="7"/>
  <c r="Q36" i="7"/>
  <c r="Q35" i="7"/>
  <c r="W34" i="7"/>
  <c r="V34" i="7"/>
  <c r="U34" i="7"/>
  <c r="T34" i="7"/>
  <c r="L34" i="7"/>
  <c r="K34" i="7"/>
  <c r="J34" i="7"/>
  <c r="I34" i="7"/>
  <c r="H34" i="7"/>
  <c r="Q32" i="7"/>
  <c r="Q31" i="7"/>
  <c r="Q30" i="7"/>
  <c r="Q29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W13" i="7"/>
  <c r="W7" i="7" s="1"/>
  <c r="V13" i="7"/>
  <c r="V7" i="7" s="1"/>
  <c r="U13" i="7"/>
  <c r="U7" i="7" s="1"/>
  <c r="T13" i="7"/>
  <c r="T7" i="7" s="1"/>
  <c r="L13" i="7"/>
  <c r="L7" i="7" s="1"/>
  <c r="K13" i="7"/>
  <c r="K7" i="7" s="1"/>
  <c r="J13" i="7"/>
  <c r="J7" i="7" s="1"/>
  <c r="R7" i="7"/>
  <c r="R6" i="7" s="1"/>
  <c r="R70" i="7" s="1"/>
  <c r="R106" i="7" s="1"/>
  <c r="I7" i="7"/>
  <c r="H7" i="7"/>
  <c r="S6" i="7"/>
  <c r="S70" i="7" s="1"/>
  <c r="S106" i="7" s="1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AI149" i="6"/>
  <c r="AO148" i="6"/>
  <c r="AF148" i="6"/>
  <c r="AE148" i="6"/>
  <c r="Z148" i="6"/>
  <c r="S148" i="6"/>
  <c r="AQ146" i="6"/>
  <c r="AB146" i="6"/>
  <c r="AF144" i="6"/>
  <c r="AE144" i="6"/>
  <c r="S144" i="6"/>
  <c r="AQ143" i="6"/>
  <c r="AB143" i="6"/>
  <c r="AF141" i="6"/>
  <c r="AE141" i="6"/>
  <c r="S141" i="6"/>
  <c r="AQ140" i="6"/>
  <c r="AK140" i="6"/>
  <c r="AB140" i="6"/>
  <c r="U140" i="6"/>
  <c r="AF138" i="6"/>
  <c r="AE138" i="6"/>
  <c r="S138" i="6"/>
  <c r="AQ137" i="6"/>
  <c r="AQ136" i="6"/>
  <c r="AQ135" i="6"/>
  <c r="AF134" i="6"/>
  <c r="AF130" i="6"/>
  <c r="AE130" i="6"/>
  <c r="S130" i="6"/>
  <c r="AQ126" i="6"/>
  <c r="AP126" i="6"/>
  <c r="AP125" i="6"/>
  <c r="AJ125" i="6"/>
  <c r="AQ124" i="6"/>
  <c r="AJ124" i="6"/>
  <c r="AQ123" i="6"/>
  <c r="AP123" i="6"/>
  <c r="AD122" i="6"/>
  <c r="R122" i="6"/>
  <c r="AL119" i="6"/>
  <c r="AK119" i="6"/>
  <c r="AJ119" i="6"/>
  <c r="U119" i="6"/>
  <c r="T119" i="6"/>
  <c r="P119" i="6"/>
  <c r="O119" i="6"/>
  <c r="AL118" i="6"/>
  <c r="AK118" i="6"/>
  <c r="AJ118" i="6"/>
  <c r="U118" i="6"/>
  <c r="T118" i="6"/>
  <c r="P118" i="6"/>
  <c r="O118" i="6"/>
  <c r="AJ116" i="6"/>
  <c r="AI116" i="6"/>
  <c r="AK116" i="6" s="1"/>
  <c r="AC116" i="6"/>
  <c r="AA116" i="6"/>
  <c r="Z116" i="6"/>
  <c r="Y116" i="6"/>
  <c r="U116" i="6"/>
  <c r="T116" i="6"/>
  <c r="AI106" i="6"/>
  <c r="AL106" i="6" s="1"/>
  <c r="AG106" i="6"/>
  <c r="AF106" i="6"/>
  <c r="AE106" i="6"/>
  <c r="AD106" i="6"/>
  <c r="W106" i="6"/>
  <c r="V106" i="6"/>
  <c r="U106" i="6"/>
  <c r="T106" i="6"/>
  <c r="R106" i="6"/>
  <c r="Q106" i="6"/>
  <c r="P106" i="6"/>
  <c r="O106" i="6"/>
  <c r="M106" i="6"/>
  <c r="AI100" i="6"/>
  <c r="AP100" i="6" s="1"/>
  <c r="AP88" i="6" s="1"/>
  <c r="AG100" i="6"/>
  <c r="AF100" i="6"/>
  <c r="AE100" i="6"/>
  <c r="AD100" i="6"/>
  <c r="W100" i="6"/>
  <c r="V100" i="6"/>
  <c r="U100" i="6"/>
  <c r="T100" i="6"/>
  <c r="R100" i="6"/>
  <c r="Q100" i="6"/>
  <c r="P100" i="6"/>
  <c r="O100" i="6"/>
  <c r="M100" i="6"/>
  <c r="AN96" i="6"/>
  <c r="AN94" i="6" s="1"/>
  <c r="AN88" i="6" s="1"/>
  <c r="AK96" i="6"/>
  <c r="AJ96" i="6"/>
  <c r="AM94" i="6"/>
  <c r="AM88" i="6" s="1"/>
  <c r="AL94" i="6"/>
  <c r="AL88" i="6" s="1"/>
  <c r="AI94" i="6"/>
  <c r="AG94" i="6"/>
  <c r="AF94" i="6"/>
  <c r="AE94" i="6"/>
  <c r="AD94" i="6"/>
  <c r="W94" i="6"/>
  <c r="V94" i="6"/>
  <c r="U94" i="6"/>
  <c r="T94" i="6"/>
  <c r="R94" i="6"/>
  <c r="Q94" i="6"/>
  <c r="P94" i="6"/>
  <c r="O94" i="6"/>
  <c r="M94" i="6"/>
  <c r="AK93" i="6"/>
  <c r="AJ93" i="6"/>
  <c r="AK92" i="6"/>
  <c r="AJ92" i="6"/>
  <c r="AK91" i="6"/>
  <c r="AJ91" i="6"/>
  <c r="AI89" i="6"/>
  <c r="AO89" i="6" s="1"/>
  <c r="AO88" i="6" s="1"/>
  <c r="AG89" i="6"/>
  <c r="AF89" i="6"/>
  <c r="AE89" i="6"/>
  <c r="AD89" i="6"/>
  <c r="W89" i="6"/>
  <c r="V89" i="6"/>
  <c r="U89" i="6"/>
  <c r="T89" i="6"/>
  <c r="Q89" i="6"/>
  <c r="P89" i="6"/>
  <c r="O89" i="6"/>
  <c r="M89" i="6"/>
  <c r="AR88" i="6"/>
  <c r="AQ88" i="6"/>
  <c r="AC88" i="6"/>
  <c r="AB88" i="6"/>
  <c r="AA88" i="6"/>
  <c r="Z88" i="6"/>
  <c r="Y88" i="6"/>
  <c r="X88" i="6"/>
  <c r="X115" i="6" s="1"/>
  <c r="V88" i="6"/>
  <c r="S88" i="6"/>
  <c r="N88" i="6"/>
  <c r="L88" i="6"/>
  <c r="J88" i="6"/>
  <c r="H88" i="6"/>
  <c r="H115" i="6" s="1"/>
  <c r="H117" i="6" s="1"/>
  <c r="H120" i="6" s="1"/>
  <c r="AQ87" i="6"/>
  <c r="AK87" i="6"/>
  <c r="U87" i="6"/>
  <c r="P87" i="6"/>
  <c r="O87" i="6"/>
  <c r="O84" i="6" s="1"/>
  <c r="AQ86" i="6"/>
  <c r="AK86" i="6"/>
  <c r="U86" i="6"/>
  <c r="P86" i="6"/>
  <c r="AQ85" i="6"/>
  <c r="AK85" i="6"/>
  <c r="AJ85" i="6"/>
  <c r="U85" i="6"/>
  <c r="T85" i="6"/>
  <c r="AR84" i="6"/>
  <c r="AP84" i="6"/>
  <c r="AO84" i="6"/>
  <c r="AL84" i="6"/>
  <c r="AF84" i="6"/>
  <c r="AJ84" i="6" s="1"/>
  <c r="AE84" i="6"/>
  <c r="AD84" i="6"/>
  <c r="AC84" i="6"/>
  <c r="AB84" i="6"/>
  <c r="AA84" i="6"/>
  <c r="Z84" i="6"/>
  <c r="Y84" i="6"/>
  <c r="W84" i="6"/>
  <c r="V84" i="6"/>
  <c r="S84" i="6"/>
  <c r="R84" i="6"/>
  <c r="Q84" i="6"/>
  <c r="N84" i="6"/>
  <c r="M84" i="6"/>
  <c r="L84" i="6"/>
  <c r="K84" i="6"/>
  <c r="J84" i="6"/>
  <c r="H84" i="6"/>
  <c r="AQ83" i="6"/>
  <c r="AK83" i="6"/>
  <c r="U83" i="6"/>
  <c r="P83" i="6"/>
  <c r="AQ82" i="6"/>
  <c r="AK82" i="6"/>
  <c r="U82" i="6"/>
  <c r="P82" i="6"/>
  <c r="AQ81" i="6"/>
  <c r="AK81" i="6"/>
  <c r="U81" i="6"/>
  <c r="P81" i="6"/>
  <c r="AQ80" i="6"/>
  <c r="AK80" i="6"/>
  <c r="U80" i="6"/>
  <c r="P80" i="6"/>
  <c r="O80" i="6"/>
  <c r="AQ79" i="6"/>
  <c r="AK79" i="6"/>
  <c r="AJ79" i="6"/>
  <c r="U79" i="6"/>
  <c r="AQ78" i="6"/>
  <c r="AK78" i="6"/>
  <c r="U78" i="6"/>
  <c r="AQ77" i="6"/>
  <c r="AK77" i="6"/>
  <c r="AJ77" i="6"/>
  <c r="U77" i="6"/>
  <c r="T77" i="6"/>
  <c r="P77" i="6"/>
  <c r="O77" i="6"/>
  <c r="AQ76" i="6"/>
  <c r="AK76" i="6"/>
  <c r="AJ76" i="6"/>
  <c r="U76" i="6"/>
  <c r="T76" i="6"/>
  <c r="P76" i="6"/>
  <c r="O76" i="6"/>
  <c r="AQ75" i="6"/>
  <c r="AK75" i="6"/>
  <c r="AJ75" i="6"/>
  <c r="U75" i="6"/>
  <c r="T75" i="6"/>
  <c r="P75" i="6"/>
  <c r="O75" i="6"/>
  <c r="AR74" i="6"/>
  <c r="AP74" i="6"/>
  <c r="AO74" i="6"/>
  <c r="AL74" i="6"/>
  <c r="AF74" i="6"/>
  <c r="AE74" i="6"/>
  <c r="AD74" i="6"/>
  <c r="AC74" i="6"/>
  <c r="AB74" i="6"/>
  <c r="AA74" i="6"/>
  <c r="Z74" i="6"/>
  <c r="Y74" i="6"/>
  <c r="W74" i="6"/>
  <c r="V74" i="6"/>
  <c r="S74" i="6"/>
  <c r="R74" i="6"/>
  <c r="O74" i="6"/>
  <c r="N74" i="6"/>
  <c r="L74" i="6"/>
  <c r="K74" i="6"/>
  <c r="J74" i="6"/>
  <c r="H74" i="6"/>
  <c r="AR73" i="6"/>
  <c r="AR71" i="6" s="1"/>
  <c r="AK73" i="6"/>
  <c r="AJ73" i="6"/>
  <c r="AR72" i="6"/>
  <c r="AK72" i="6"/>
  <c r="AJ72" i="6"/>
  <c r="AQ71" i="6"/>
  <c r="AP71" i="6"/>
  <c r="AO71" i="6"/>
  <c r="AL71" i="6"/>
  <c r="AF71" i="6"/>
  <c r="AE71" i="6"/>
  <c r="AJ71" i="6" s="1"/>
  <c r="AC71" i="6"/>
  <c r="AB71" i="6"/>
  <c r="AA71" i="6"/>
  <c r="Z71" i="6"/>
  <c r="Y71" i="6"/>
  <c r="S71" i="6"/>
  <c r="U71" i="6" s="1"/>
  <c r="P71" i="6"/>
  <c r="O71" i="6"/>
  <c r="I70" i="6"/>
  <c r="AK69" i="6"/>
  <c r="U69" i="6"/>
  <c r="AK68" i="6"/>
  <c r="U68" i="6"/>
  <c r="T68" i="6"/>
  <c r="P68" i="6"/>
  <c r="O68" i="6"/>
  <c r="AL66" i="6"/>
  <c r="AL65" i="6"/>
  <c r="AK65" i="6"/>
  <c r="U65" i="6"/>
  <c r="AL64" i="6"/>
  <c r="AK64" i="6"/>
  <c r="U64" i="6"/>
  <c r="AL63" i="6"/>
  <c r="AK63" i="6"/>
  <c r="U63" i="6"/>
  <c r="P63" i="6"/>
  <c r="O63" i="6"/>
  <c r="AL62" i="6"/>
  <c r="AK62" i="6"/>
  <c r="U62" i="6"/>
  <c r="AL61" i="6"/>
  <c r="AK61" i="6"/>
  <c r="U61" i="6"/>
  <c r="AL60" i="6"/>
  <c r="AK60" i="6"/>
  <c r="AJ60" i="6"/>
  <c r="U60" i="6"/>
  <c r="T60" i="6"/>
  <c r="P60" i="6"/>
  <c r="O60" i="6"/>
  <c r="AL59" i="6"/>
  <c r="AL58" i="6"/>
  <c r="AL57" i="6"/>
  <c r="AL56" i="6"/>
  <c r="AL55" i="6"/>
  <c r="AI54" i="6"/>
  <c r="AK54" i="6" s="1"/>
  <c r="AG54" i="6"/>
  <c r="AG33" i="6" s="1"/>
  <c r="U54" i="6"/>
  <c r="T54" i="6"/>
  <c r="P54" i="6"/>
  <c r="O54" i="6"/>
  <c r="AR33" i="6"/>
  <c r="AQ33" i="6"/>
  <c r="AP33" i="6"/>
  <c r="AO33" i="6"/>
  <c r="AF33" i="6"/>
  <c r="AE33" i="6"/>
  <c r="AD33" i="6"/>
  <c r="AC33" i="6"/>
  <c r="AB33" i="6"/>
  <c r="AA33" i="6"/>
  <c r="Z33" i="6"/>
  <c r="Y33" i="6"/>
  <c r="S33" i="6"/>
  <c r="R33" i="6"/>
  <c r="Q33" i="6"/>
  <c r="N33" i="6"/>
  <c r="M33" i="6"/>
  <c r="L33" i="6"/>
  <c r="J33" i="6"/>
  <c r="H33" i="6"/>
  <c r="AK32" i="6"/>
  <c r="U32" i="6"/>
  <c r="AL31" i="6"/>
  <c r="AK31" i="6"/>
  <c r="AJ31" i="6"/>
  <c r="U31" i="6"/>
  <c r="T31" i="6"/>
  <c r="P31" i="6"/>
  <c r="O31" i="6"/>
  <c r="AL30" i="6"/>
  <c r="AK30" i="6"/>
  <c r="AJ30" i="6"/>
  <c r="U30" i="6"/>
  <c r="T30" i="6"/>
  <c r="P30" i="6"/>
  <c r="O30" i="6"/>
  <c r="AL29" i="6"/>
  <c r="AK29" i="6"/>
  <c r="AJ29" i="6"/>
  <c r="U29" i="6"/>
  <c r="T29" i="6"/>
  <c r="P29" i="6"/>
  <c r="O29" i="6"/>
  <c r="AL28" i="6"/>
  <c r="AK28" i="6"/>
  <c r="AJ28" i="6"/>
  <c r="U28" i="6"/>
  <c r="T28" i="6"/>
  <c r="P28" i="6"/>
  <c r="O28" i="6"/>
  <c r="AL27" i="6"/>
  <c r="AI26" i="6"/>
  <c r="AL26" i="6" s="1"/>
  <c r="AL25" i="6"/>
  <c r="AL24" i="6"/>
  <c r="AL23" i="6"/>
  <c r="AL22" i="6"/>
  <c r="AL21" i="6"/>
  <c r="AL20" i="6"/>
  <c r="AL19" i="6"/>
  <c r="AL18" i="6"/>
  <c r="AL17" i="6"/>
  <c r="AL16" i="6"/>
  <c r="AL15" i="6"/>
  <c r="AR13" i="6"/>
  <c r="AR9" i="6" s="1"/>
  <c r="AQ13" i="6"/>
  <c r="AP13" i="6"/>
  <c r="AP9" i="6" s="1"/>
  <c r="AO13" i="6"/>
  <c r="AF13" i="6"/>
  <c r="AF9" i="6" s="1"/>
  <c r="AE13" i="6"/>
  <c r="AE9" i="6" s="1"/>
  <c r="AD13" i="6"/>
  <c r="AC13" i="6"/>
  <c r="AC9" i="6" s="1"/>
  <c r="AB13" i="6"/>
  <c r="AB9" i="6" s="1"/>
  <c r="AA13" i="6"/>
  <c r="AA9" i="6" s="1"/>
  <c r="Z13" i="6"/>
  <c r="Z9" i="6" s="1"/>
  <c r="Y13" i="6"/>
  <c r="Y9" i="6" s="1"/>
  <c r="S13" i="6"/>
  <c r="S9" i="6" s="1"/>
  <c r="AL12" i="6"/>
  <c r="AK12" i="6"/>
  <c r="AL11" i="6"/>
  <c r="AK11" i="6"/>
  <c r="AJ11" i="6"/>
  <c r="U11" i="6"/>
  <c r="T11" i="6"/>
  <c r="P11" i="6"/>
  <c r="O11" i="6"/>
  <c r="AL10" i="6"/>
  <c r="AK10" i="6"/>
  <c r="AJ10" i="6"/>
  <c r="U10" i="6"/>
  <c r="T10" i="6"/>
  <c r="P10" i="6"/>
  <c r="O10" i="6"/>
  <c r="AQ9" i="6"/>
  <c r="AO9" i="6"/>
  <c r="AM9" i="6"/>
  <c r="AG9" i="6"/>
  <c r="AD9" i="6"/>
  <c r="R9" i="6"/>
  <c r="Q9" i="6"/>
  <c r="N9" i="6"/>
  <c r="M9" i="6"/>
  <c r="L9" i="6"/>
  <c r="K9" i="6"/>
  <c r="K6" i="6" s="1"/>
  <c r="K70" i="6" s="1"/>
  <c r="J9" i="6"/>
  <c r="H9" i="6"/>
  <c r="AN6" i="6"/>
  <c r="AN70" i="6" s="1"/>
  <c r="AM6" i="6"/>
  <c r="AM70" i="6" s="1"/>
  <c r="W6" i="6"/>
  <c r="W70" i="6" s="1"/>
  <c r="V6" i="6"/>
  <c r="V70" i="6" s="1"/>
  <c r="P107" i="7" l="1"/>
  <c r="O107" i="7"/>
  <c r="W6" i="7"/>
  <c r="W70" i="7" s="1"/>
  <c r="W106" i="7" s="1"/>
  <c r="W108" i="7" s="1"/>
  <c r="W111" i="7" s="1"/>
  <c r="T6" i="7"/>
  <c r="U6" i="7"/>
  <c r="L6" i="7"/>
  <c r="L70" i="7" s="1"/>
  <c r="L106" i="7" s="1"/>
  <c r="Q13" i="7"/>
  <c r="K6" i="7"/>
  <c r="K70" i="7" s="1"/>
  <c r="K106" i="7" s="1"/>
  <c r="AO6" i="6"/>
  <c r="AO70" i="6" s="1"/>
  <c r="AO115" i="6" s="1"/>
  <c r="AO117" i="6" s="1"/>
  <c r="AO120" i="6" s="1"/>
  <c r="P9" i="6"/>
  <c r="Y6" i="6"/>
  <c r="Y70" i="6" s="1"/>
  <c r="AC6" i="6"/>
  <c r="AC70" i="6" s="1"/>
  <c r="AC115" i="6" s="1"/>
  <c r="AC117" i="6" s="1"/>
  <c r="AC120" i="6" s="1"/>
  <c r="P88" i="6"/>
  <c r="AJ89" i="6"/>
  <c r="Q88" i="6"/>
  <c r="Q115" i="6" s="1"/>
  <c r="AK94" i="6"/>
  <c r="AL128" i="6"/>
  <c r="AQ148" i="6"/>
  <c r="R6" i="6"/>
  <c r="R70" i="6" s="1"/>
  <c r="O9" i="6"/>
  <c r="O6" i="6" s="1"/>
  <c r="O33" i="6"/>
  <c r="AD88" i="6"/>
  <c r="Y115" i="6"/>
  <c r="Y117" i="6" s="1"/>
  <c r="Y120" i="6" s="1"/>
  <c r="AI88" i="6"/>
  <c r="AD6" i="6"/>
  <c r="AD70" i="6" s="1"/>
  <c r="Z6" i="6"/>
  <c r="Z70" i="6" s="1"/>
  <c r="Z115" i="6" s="1"/>
  <c r="Z117" i="6" s="1"/>
  <c r="Z120" i="6" s="1"/>
  <c r="U33" i="6"/>
  <c r="H6" i="6"/>
  <c r="H70" i="6" s="1"/>
  <c r="AA6" i="6"/>
  <c r="AA70" i="6" s="1"/>
  <c r="AA115" i="6" s="1"/>
  <c r="AA117" i="6" s="1"/>
  <c r="AA120" i="6" s="1"/>
  <c r="N6" i="6"/>
  <c r="N70" i="6" s="1"/>
  <c r="N115" i="6" s="1"/>
  <c r="N117" i="6" s="1"/>
  <c r="AP6" i="6"/>
  <c r="AP70" i="6" s="1"/>
  <c r="AI33" i="6"/>
  <c r="AK33" i="6" s="1"/>
  <c r="AE6" i="6"/>
  <c r="AE70" i="6" s="1"/>
  <c r="AR6" i="6"/>
  <c r="AR70" i="6" s="1"/>
  <c r="AR115" i="6" s="1"/>
  <c r="AR117" i="6" s="1"/>
  <c r="AR120" i="6" s="1"/>
  <c r="AQ127" i="6"/>
  <c r="J6" i="6"/>
  <c r="J70" i="6" s="1"/>
  <c r="J115" i="6" s="1"/>
  <c r="J117" i="6" s="1"/>
  <c r="J120" i="6" s="1"/>
  <c r="AG6" i="6"/>
  <c r="AG70" i="6" s="1"/>
  <c r="AK117" i="6"/>
  <c r="AQ74" i="6"/>
  <c r="AQ84" i="6"/>
  <c r="L6" i="6"/>
  <c r="L70" i="6" s="1"/>
  <c r="L115" i="6" s="1"/>
  <c r="L117" i="6" s="1"/>
  <c r="L120" i="6" s="1"/>
  <c r="AK100" i="6"/>
  <c r="R88" i="6"/>
  <c r="H6" i="7"/>
  <c r="H70" i="7" s="1"/>
  <c r="H106" i="7" s="1"/>
  <c r="V6" i="7"/>
  <c r="V70" i="7" s="1"/>
  <c r="V106" i="7" s="1"/>
  <c r="V141" i="7" s="1"/>
  <c r="Q34" i="7"/>
  <c r="I106" i="7"/>
  <c r="I102" i="7" s="1"/>
  <c r="R108" i="7"/>
  <c r="R111" i="7" s="1"/>
  <c r="S108" i="7"/>
  <c r="S111" i="7" s="1"/>
  <c r="J6" i="7"/>
  <c r="J70" i="7" s="1"/>
  <c r="J106" i="7" s="1"/>
  <c r="N13" i="7"/>
  <c r="I6" i="7"/>
  <c r="AM115" i="6"/>
  <c r="AM117" i="6" s="1"/>
  <c r="AM120" i="6" s="1"/>
  <c r="AN115" i="6"/>
  <c r="AN117" i="6" s="1"/>
  <c r="AN120" i="6" s="1"/>
  <c r="Q6" i="6"/>
  <c r="AK74" i="6"/>
  <c r="T84" i="6"/>
  <c r="AK84" i="6"/>
  <c r="P84" i="6"/>
  <c r="M88" i="6"/>
  <c r="W88" i="6"/>
  <c r="W115" i="6" s="1"/>
  <c r="W117" i="6" s="1"/>
  <c r="W120" i="6" s="1"/>
  <c r="AG88" i="6"/>
  <c r="O88" i="6"/>
  <c r="T88" i="6"/>
  <c r="AR126" i="6"/>
  <c r="R115" i="6"/>
  <c r="R117" i="6" s="1"/>
  <c r="R120" i="6" s="1"/>
  <c r="AP115" i="6"/>
  <c r="AP117" i="6" s="1"/>
  <c r="AP120" i="6" s="1"/>
  <c r="M6" i="6"/>
  <c r="M70" i="6" s="1"/>
  <c r="AQ6" i="6"/>
  <c r="AQ70" i="6" s="1"/>
  <c r="AJ54" i="6"/>
  <c r="U74" i="6"/>
  <c r="AJ74" i="6"/>
  <c r="U84" i="6"/>
  <c r="V115" i="6"/>
  <c r="V117" i="6" s="1"/>
  <c r="V120" i="6" s="1"/>
  <c r="AB6" i="6"/>
  <c r="AB70" i="6" s="1"/>
  <c r="AB115" i="6" s="1"/>
  <c r="AB117" i="6" s="1"/>
  <c r="AB120" i="6" s="1"/>
  <c r="AF6" i="6"/>
  <c r="AF70" i="6" s="1"/>
  <c r="AF151" i="6" s="1"/>
  <c r="AF153" i="6" s="1"/>
  <c r="AL13" i="6"/>
  <c r="AL9" i="6" s="1"/>
  <c r="P33" i="6"/>
  <c r="P6" i="6" s="1"/>
  <c r="T33" i="6"/>
  <c r="AL54" i="6"/>
  <c r="AL33" i="6" s="1"/>
  <c r="AK71" i="6"/>
  <c r="P74" i="6"/>
  <c r="T74" i="6"/>
  <c r="AJ94" i="6"/>
  <c r="U88" i="6"/>
  <c r="AJ100" i="6"/>
  <c r="AK106" i="6"/>
  <c r="AP127" i="6"/>
  <c r="U9" i="6"/>
  <c r="S6" i="6"/>
  <c r="T9" i="6"/>
  <c r="AK89" i="6"/>
  <c r="AI13" i="6"/>
  <c r="T71" i="6"/>
  <c r="AE88" i="6"/>
  <c r="AJ106" i="6"/>
  <c r="AF88" i="6"/>
  <c r="AH129" i="5"/>
  <c r="AH26" i="5"/>
  <c r="AK26" i="5" s="1"/>
  <c r="AE133" i="5"/>
  <c r="AD133" i="5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P133" i="5"/>
  <c r="O133" i="5"/>
  <c r="N133" i="5"/>
  <c r="AN128" i="5"/>
  <c r="AF128" i="5"/>
  <c r="AE128" i="5"/>
  <c r="Z128" i="5"/>
  <c r="S128" i="5"/>
  <c r="AP126" i="5"/>
  <c r="AB126" i="5"/>
  <c r="AF124" i="5"/>
  <c r="AE124" i="5"/>
  <c r="S124" i="5"/>
  <c r="AP123" i="5"/>
  <c r="AB123" i="5"/>
  <c r="AF121" i="5"/>
  <c r="AE121" i="5"/>
  <c r="S121" i="5"/>
  <c r="AP120" i="5"/>
  <c r="AJ120" i="5"/>
  <c r="AB120" i="5"/>
  <c r="U120" i="5"/>
  <c r="AF118" i="5"/>
  <c r="AE118" i="5"/>
  <c r="S118" i="5"/>
  <c r="AP117" i="5"/>
  <c r="AP116" i="5"/>
  <c r="AP115" i="5"/>
  <c r="AF114" i="5"/>
  <c r="AF110" i="5"/>
  <c r="AE110" i="5"/>
  <c r="S110" i="5"/>
  <c r="AQ106" i="5"/>
  <c r="AP106" i="5"/>
  <c r="AO106" i="5"/>
  <c r="AO105" i="5"/>
  <c r="AI105" i="5"/>
  <c r="AK108" i="5" s="1"/>
  <c r="AP104" i="5"/>
  <c r="AI104" i="5"/>
  <c r="AP103" i="5"/>
  <c r="AO103" i="5"/>
  <c r="AD102" i="5"/>
  <c r="R102" i="5"/>
  <c r="AK99" i="5"/>
  <c r="AJ99" i="5"/>
  <c r="AI99" i="5"/>
  <c r="U99" i="5"/>
  <c r="T99" i="5"/>
  <c r="P99" i="5"/>
  <c r="O99" i="5"/>
  <c r="AK98" i="5"/>
  <c r="AJ98" i="5"/>
  <c r="AI98" i="5"/>
  <c r="U98" i="5"/>
  <c r="T98" i="5"/>
  <c r="P98" i="5"/>
  <c r="O98" i="5"/>
  <c r="AJ96" i="5"/>
  <c r="AI96" i="5"/>
  <c r="AH96" i="5"/>
  <c r="AC96" i="5"/>
  <c r="AA96" i="5"/>
  <c r="Z96" i="5"/>
  <c r="Y96" i="5"/>
  <c r="U96" i="5"/>
  <c r="T96" i="5"/>
  <c r="AH86" i="5"/>
  <c r="AK86" i="5" s="1"/>
  <c r="AK68" i="5" s="1"/>
  <c r="AG86" i="5"/>
  <c r="AF86" i="5"/>
  <c r="AJ86" i="5" s="1"/>
  <c r="AE86" i="5"/>
  <c r="AD86" i="5"/>
  <c r="W86" i="5"/>
  <c r="V86" i="5"/>
  <c r="U86" i="5"/>
  <c r="T86" i="5"/>
  <c r="R86" i="5"/>
  <c r="Q86" i="5"/>
  <c r="P86" i="5"/>
  <c r="O86" i="5"/>
  <c r="M86" i="5"/>
  <c r="AH80" i="5"/>
  <c r="AO80" i="5" s="1"/>
  <c r="AO68" i="5" s="1"/>
  <c r="AG80" i="5"/>
  <c r="AF80" i="5"/>
  <c r="AE80" i="5"/>
  <c r="AJ80" i="5" s="1"/>
  <c r="AD80" i="5"/>
  <c r="W80" i="5"/>
  <c r="V80" i="5"/>
  <c r="U80" i="5"/>
  <c r="T80" i="5"/>
  <c r="R80" i="5"/>
  <c r="Q80" i="5"/>
  <c r="P80" i="5"/>
  <c r="O80" i="5"/>
  <c r="M80" i="5"/>
  <c r="AM76" i="5"/>
  <c r="AM74" i="5" s="1"/>
  <c r="AM68" i="5" s="1"/>
  <c r="AJ76" i="5"/>
  <c r="AI76" i="5"/>
  <c r="AL74" i="5"/>
  <c r="AL68" i="5" s="1"/>
  <c r="AK74" i="5"/>
  <c r="AH74" i="5"/>
  <c r="AG74" i="5"/>
  <c r="AF74" i="5"/>
  <c r="AE74" i="5"/>
  <c r="AD74" i="5"/>
  <c r="W74" i="5"/>
  <c r="V74" i="5"/>
  <c r="U74" i="5"/>
  <c r="U68" i="5" s="1"/>
  <c r="T74" i="5"/>
  <c r="R74" i="5"/>
  <c r="Q74" i="5"/>
  <c r="P74" i="5"/>
  <c r="O74" i="5"/>
  <c r="M74" i="5"/>
  <c r="AJ73" i="5"/>
  <c r="AI73" i="5"/>
  <c r="AJ72" i="5"/>
  <c r="AI72" i="5"/>
  <c r="AJ71" i="5"/>
  <c r="AI71" i="5"/>
  <c r="AH69" i="5"/>
  <c r="AH68" i="5" s="1"/>
  <c r="AG69" i="5"/>
  <c r="AF69" i="5"/>
  <c r="AE69" i="5"/>
  <c r="AI69" i="5" s="1"/>
  <c r="AD69" i="5"/>
  <c r="AD68" i="5" s="1"/>
  <c r="W69" i="5"/>
  <c r="V69" i="5"/>
  <c r="U69" i="5"/>
  <c r="T69" i="5"/>
  <c r="Q69" i="5"/>
  <c r="P69" i="5"/>
  <c r="O69" i="5"/>
  <c r="O68" i="5" s="1"/>
  <c r="M69" i="5"/>
  <c r="AQ68" i="5"/>
  <c r="AP68" i="5"/>
  <c r="AG68" i="5"/>
  <c r="AC68" i="5"/>
  <c r="AB68" i="5"/>
  <c r="AA68" i="5"/>
  <c r="Z68" i="5"/>
  <c r="Y68" i="5"/>
  <c r="X68" i="5"/>
  <c r="X95" i="5" s="1"/>
  <c r="T68" i="5"/>
  <c r="S68" i="5"/>
  <c r="N68" i="5"/>
  <c r="L68" i="5"/>
  <c r="J68" i="5"/>
  <c r="H68" i="5"/>
  <c r="H95" i="5" s="1"/>
  <c r="H97" i="5" s="1"/>
  <c r="H100" i="5" s="1"/>
  <c r="AP67" i="5"/>
  <c r="AJ67" i="5"/>
  <c r="U67" i="5"/>
  <c r="P67" i="5"/>
  <c r="O67" i="5"/>
  <c r="AP66" i="5"/>
  <c r="AJ66" i="5"/>
  <c r="U66" i="5"/>
  <c r="P66" i="5"/>
  <c r="P64" i="5" s="1"/>
  <c r="AP65" i="5"/>
  <c r="AJ65" i="5"/>
  <c r="AI65" i="5"/>
  <c r="U65" i="5"/>
  <c r="T65" i="5"/>
  <c r="AQ64" i="5"/>
  <c r="AO64" i="5"/>
  <c r="AN64" i="5"/>
  <c r="AK64" i="5"/>
  <c r="AF64" i="5"/>
  <c r="AJ64" i="5" s="1"/>
  <c r="AE64" i="5"/>
  <c r="AD64" i="5"/>
  <c r="AC64" i="5"/>
  <c r="AB64" i="5"/>
  <c r="AA64" i="5"/>
  <c r="Z64" i="5"/>
  <c r="Y64" i="5"/>
  <c r="W64" i="5"/>
  <c r="V64" i="5"/>
  <c r="S64" i="5"/>
  <c r="R64" i="5"/>
  <c r="Q64" i="5"/>
  <c r="O64" i="5"/>
  <c r="N64" i="5"/>
  <c r="M64" i="5"/>
  <c r="L64" i="5"/>
  <c r="K64" i="5"/>
  <c r="J64" i="5"/>
  <c r="H64" i="5"/>
  <c r="AP63" i="5"/>
  <c r="AJ63" i="5"/>
  <c r="U63" i="5"/>
  <c r="P63" i="5"/>
  <c r="AP62" i="5"/>
  <c r="AJ62" i="5"/>
  <c r="U62" i="5"/>
  <c r="P62" i="5"/>
  <c r="AP61" i="5"/>
  <c r="AJ61" i="5"/>
  <c r="U61" i="5"/>
  <c r="P61" i="5"/>
  <c r="AP60" i="5"/>
  <c r="AJ60" i="5"/>
  <c r="U60" i="5"/>
  <c r="P60" i="5"/>
  <c r="O60" i="5"/>
  <c r="AP59" i="5"/>
  <c r="AJ59" i="5"/>
  <c r="AI59" i="5"/>
  <c r="U59" i="5"/>
  <c r="AP58" i="5"/>
  <c r="AJ58" i="5"/>
  <c r="U58" i="5"/>
  <c r="AP57" i="5"/>
  <c r="AJ57" i="5"/>
  <c r="AI57" i="5"/>
  <c r="U57" i="5"/>
  <c r="T57" i="5"/>
  <c r="P57" i="5"/>
  <c r="O57" i="5"/>
  <c r="AP56" i="5"/>
  <c r="AP54" i="5" s="1"/>
  <c r="AJ56" i="5"/>
  <c r="AI56" i="5"/>
  <c r="U56" i="5"/>
  <c r="T56" i="5"/>
  <c r="P56" i="5"/>
  <c r="O56" i="5"/>
  <c r="AP55" i="5"/>
  <c r="AJ55" i="5"/>
  <c r="AI55" i="5"/>
  <c r="U55" i="5"/>
  <c r="T55" i="5"/>
  <c r="P55" i="5"/>
  <c r="O55" i="5"/>
  <c r="AQ54" i="5"/>
  <c r="AO54" i="5"/>
  <c r="AN54" i="5"/>
  <c r="AK54" i="5"/>
  <c r="AF54" i="5"/>
  <c r="AJ54" i="5" s="1"/>
  <c r="AE54" i="5"/>
  <c r="AD54" i="5"/>
  <c r="AC54" i="5"/>
  <c r="AB54" i="5"/>
  <c r="AA54" i="5"/>
  <c r="Z54" i="5"/>
  <c r="Y54" i="5"/>
  <c r="W54" i="5"/>
  <c r="V54" i="5"/>
  <c r="S54" i="5"/>
  <c r="R54" i="5"/>
  <c r="N54" i="5"/>
  <c r="L54" i="5"/>
  <c r="K54" i="5"/>
  <c r="J54" i="5"/>
  <c r="H54" i="5"/>
  <c r="AQ53" i="5"/>
  <c r="AJ53" i="5"/>
  <c r="AI53" i="5"/>
  <c r="AQ52" i="5"/>
  <c r="AJ52" i="5"/>
  <c r="AJ97" i="5" s="1"/>
  <c r="AI52" i="5"/>
  <c r="AP51" i="5"/>
  <c r="AO51" i="5"/>
  <c r="AN51" i="5"/>
  <c r="AK51" i="5"/>
  <c r="AF51" i="5"/>
  <c r="AE51" i="5"/>
  <c r="AC51" i="5"/>
  <c r="AB51" i="5"/>
  <c r="AA51" i="5"/>
  <c r="Z51" i="5"/>
  <c r="Y51" i="5"/>
  <c r="S51" i="5"/>
  <c r="U51" i="5" s="1"/>
  <c r="P51" i="5"/>
  <c r="O51" i="5"/>
  <c r="I50" i="5"/>
  <c r="AJ49" i="5"/>
  <c r="U49" i="5"/>
  <c r="AJ48" i="5"/>
  <c r="U48" i="5"/>
  <c r="T48" i="5"/>
  <c r="P48" i="5"/>
  <c r="O48" i="5"/>
  <c r="AK46" i="5"/>
  <c r="AK45" i="5"/>
  <c r="AJ45" i="5"/>
  <c r="U45" i="5"/>
  <c r="AK44" i="5"/>
  <c r="AJ44" i="5"/>
  <c r="U44" i="5"/>
  <c r="AK43" i="5"/>
  <c r="AJ43" i="5"/>
  <c r="U43" i="5"/>
  <c r="P43" i="5"/>
  <c r="O43" i="5"/>
  <c r="AK42" i="5"/>
  <c r="AJ42" i="5"/>
  <c r="U42" i="5"/>
  <c r="AK41" i="5"/>
  <c r="AJ41" i="5"/>
  <c r="U41" i="5"/>
  <c r="AK40" i="5"/>
  <c r="AJ40" i="5"/>
  <c r="AI40" i="5"/>
  <c r="U40" i="5"/>
  <c r="T40" i="5"/>
  <c r="P40" i="5"/>
  <c r="O40" i="5"/>
  <c r="AK39" i="5"/>
  <c r="AK38" i="5"/>
  <c r="AK37" i="5"/>
  <c r="AK36" i="5"/>
  <c r="AK35" i="5"/>
  <c r="AH34" i="5"/>
  <c r="AI34" i="5" s="1"/>
  <c r="AG34" i="5"/>
  <c r="U34" i="5"/>
  <c r="T34" i="5"/>
  <c r="P34" i="5"/>
  <c r="O34" i="5"/>
  <c r="AQ33" i="5"/>
  <c r="AP33" i="5"/>
  <c r="AO33" i="5"/>
  <c r="AN33" i="5"/>
  <c r="AG33" i="5"/>
  <c r="AF33" i="5"/>
  <c r="AE33" i="5"/>
  <c r="AD33" i="5"/>
  <c r="AC33" i="5"/>
  <c r="AB33" i="5"/>
  <c r="AA33" i="5"/>
  <c r="Z33" i="5"/>
  <c r="Y33" i="5"/>
  <c r="S33" i="5"/>
  <c r="R33" i="5"/>
  <c r="Q33" i="5"/>
  <c r="N33" i="5"/>
  <c r="O33" i="5" s="1"/>
  <c r="M33" i="5"/>
  <c r="L33" i="5"/>
  <c r="J33" i="5"/>
  <c r="H33" i="5"/>
  <c r="H6" i="5" s="1"/>
  <c r="H50" i="5" s="1"/>
  <c r="AJ32" i="5"/>
  <c r="U32" i="5"/>
  <c r="AK31" i="5"/>
  <c r="AJ31" i="5"/>
  <c r="AI31" i="5"/>
  <c r="U31" i="5"/>
  <c r="T31" i="5"/>
  <c r="P31" i="5"/>
  <c r="O31" i="5"/>
  <c r="AK30" i="5"/>
  <c r="AJ30" i="5"/>
  <c r="AI30" i="5"/>
  <c r="U30" i="5"/>
  <c r="T30" i="5"/>
  <c r="P30" i="5"/>
  <c r="O30" i="5"/>
  <c r="AK29" i="5"/>
  <c r="AJ29" i="5"/>
  <c r="AI29" i="5"/>
  <c r="U29" i="5"/>
  <c r="T29" i="5"/>
  <c r="P29" i="5"/>
  <c r="O29" i="5"/>
  <c r="AK28" i="5"/>
  <c r="AJ28" i="5"/>
  <c r="AI28" i="5"/>
  <c r="U28" i="5"/>
  <c r="T28" i="5"/>
  <c r="P28" i="5"/>
  <c r="O28" i="5"/>
  <c r="AK27" i="5"/>
  <c r="AK25" i="5"/>
  <c r="AK24" i="5"/>
  <c r="AK23" i="5"/>
  <c r="AK22" i="5"/>
  <c r="AK21" i="5"/>
  <c r="AK20" i="5"/>
  <c r="AK19" i="5"/>
  <c r="AK18" i="5"/>
  <c r="AK17" i="5"/>
  <c r="AK16" i="5"/>
  <c r="AK15" i="5"/>
  <c r="AQ13" i="5"/>
  <c r="AP13" i="5"/>
  <c r="AO13" i="5"/>
  <c r="AO9" i="5" s="1"/>
  <c r="AN13" i="5"/>
  <c r="AN9" i="5" s="1"/>
  <c r="AF13" i="5"/>
  <c r="AE13" i="5"/>
  <c r="AE9" i="5" s="1"/>
  <c r="AD13" i="5"/>
  <c r="AD9" i="5" s="1"/>
  <c r="AD6" i="5" s="1"/>
  <c r="AD50" i="5" s="1"/>
  <c r="AD95" i="5" s="1"/>
  <c r="AD97" i="5" s="1"/>
  <c r="AD100" i="5" s="1"/>
  <c r="AC13" i="5"/>
  <c r="AB13" i="5"/>
  <c r="AA13" i="5"/>
  <c r="AA9" i="5" s="1"/>
  <c r="Z13" i="5"/>
  <c r="Z9" i="5" s="1"/>
  <c r="Z6" i="5" s="1"/>
  <c r="Z50" i="5" s="1"/>
  <c r="Z95" i="5" s="1"/>
  <c r="Z97" i="5" s="1"/>
  <c r="Z100" i="5" s="1"/>
  <c r="Y13" i="5"/>
  <c r="Y9" i="5" s="1"/>
  <c r="S13" i="5"/>
  <c r="AK12" i="5"/>
  <c r="AJ12" i="5"/>
  <c r="AK11" i="5"/>
  <c r="AJ11" i="5"/>
  <c r="AI11" i="5"/>
  <c r="U11" i="5"/>
  <c r="T11" i="5"/>
  <c r="P11" i="5"/>
  <c r="O11" i="5"/>
  <c r="O9" i="5" s="1"/>
  <c r="O6" i="5" s="1"/>
  <c r="AK10" i="5"/>
  <c r="AJ10" i="5"/>
  <c r="AI10" i="5"/>
  <c r="U10" i="5"/>
  <c r="T10" i="5"/>
  <c r="P10" i="5"/>
  <c r="P9" i="5" s="1"/>
  <c r="O10" i="5"/>
  <c r="AQ9" i="5"/>
  <c r="AQ6" i="5" s="1"/>
  <c r="AQ50" i="5" s="1"/>
  <c r="AP9" i="5"/>
  <c r="AP6" i="5" s="1"/>
  <c r="AP50" i="5" s="1"/>
  <c r="AL9" i="5"/>
  <c r="AL6" i="5" s="1"/>
  <c r="AL50" i="5" s="1"/>
  <c r="AL95" i="5" s="1"/>
  <c r="AL97" i="5" s="1"/>
  <c r="AL100" i="5" s="1"/>
  <c r="AG9" i="5"/>
  <c r="AG6" i="5" s="1"/>
  <c r="AG50" i="5" s="1"/>
  <c r="AG95" i="5" s="1"/>
  <c r="AF9" i="5"/>
  <c r="AF6" i="5" s="1"/>
  <c r="AF50" i="5" s="1"/>
  <c r="AC9" i="5"/>
  <c r="AB9" i="5"/>
  <c r="AB6" i="5" s="1"/>
  <c r="AB50" i="5" s="1"/>
  <c r="AB95" i="5" s="1"/>
  <c r="AB97" i="5" s="1"/>
  <c r="AB100" i="5" s="1"/>
  <c r="S9" i="5"/>
  <c r="R9" i="5"/>
  <c r="Q9" i="5"/>
  <c r="Q6" i="5" s="1"/>
  <c r="N9" i="5"/>
  <c r="N6" i="5" s="1"/>
  <c r="N50" i="5" s="1"/>
  <c r="M9" i="5"/>
  <c r="L9" i="5"/>
  <c r="K9" i="5"/>
  <c r="K6" i="5" s="1"/>
  <c r="K50" i="5" s="1"/>
  <c r="J9" i="5"/>
  <c r="J6" i="5" s="1"/>
  <c r="J50" i="5" s="1"/>
  <c r="J95" i="5" s="1"/>
  <c r="J97" i="5" s="1"/>
  <c r="J100" i="5" s="1"/>
  <c r="H9" i="5"/>
  <c r="AN6" i="5"/>
  <c r="AN50" i="5" s="1"/>
  <c r="AM6" i="5"/>
  <c r="AM50" i="5" s="1"/>
  <c r="AM95" i="5" s="1"/>
  <c r="AM97" i="5" s="1"/>
  <c r="AM100" i="5" s="1"/>
  <c r="W6" i="5"/>
  <c r="W50" i="5" s="1"/>
  <c r="V6" i="5"/>
  <c r="V50" i="5" s="1"/>
  <c r="M6" i="5"/>
  <c r="M50" i="5" s="1"/>
  <c r="L6" i="5"/>
  <c r="L50" i="5" s="1"/>
  <c r="L95" i="5" s="1"/>
  <c r="L97" i="5" s="1"/>
  <c r="L100" i="5" s="1"/>
  <c r="Q6" i="7" l="1"/>
  <c r="Q7" i="7"/>
  <c r="U70" i="7"/>
  <c r="U106" i="7" s="1"/>
  <c r="U139" i="7" s="1"/>
  <c r="U140" i="7" s="1"/>
  <c r="T70" i="7"/>
  <c r="T106" i="7" s="1"/>
  <c r="H108" i="7"/>
  <c r="H111" i="7" s="1"/>
  <c r="H102" i="7"/>
  <c r="O13" i="7"/>
  <c r="P13" i="7"/>
  <c r="AF131" i="5"/>
  <c r="AF133" i="5" s="1"/>
  <c r="AC6" i="5"/>
  <c r="AC50" i="5" s="1"/>
  <c r="AC95" i="5" s="1"/>
  <c r="AC97" i="5" s="1"/>
  <c r="AC100" i="5" s="1"/>
  <c r="AH33" i="5"/>
  <c r="AJ33" i="5" s="1"/>
  <c r="T51" i="5"/>
  <c r="AJ51" i="5"/>
  <c r="Q68" i="5"/>
  <c r="Q95" i="5" s="1"/>
  <c r="R68" i="5"/>
  <c r="Y6" i="5"/>
  <c r="Y50" i="5" s="1"/>
  <c r="Y95" i="5" s="1"/>
  <c r="Y97" i="5" s="1"/>
  <c r="Y100" i="5" s="1"/>
  <c r="T54" i="5"/>
  <c r="AO6" i="5"/>
  <c r="AO50" i="5" s="1"/>
  <c r="AO95" i="5" s="1"/>
  <c r="AO97" i="5" s="1"/>
  <c r="AO100" i="5" s="1"/>
  <c r="P68" i="5"/>
  <c r="AE68" i="5"/>
  <c r="AI68" i="5" s="1"/>
  <c r="M95" i="5"/>
  <c r="AF68" i="5"/>
  <c r="AF95" i="5" s="1"/>
  <c r="AF97" i="5" s="1"/>
  <c r="AO107" i="5"/>
  <c r="W68" i="5"/>
  <c r="W95" i="5" s="1"/>
  <c r="W97" i="5" s="1"/>
  <c r="W100" i="5" s="1"/>
  <c r="AP107" i="5"/>
  <c r="M68" i="5"/>
  <c r="AI86" i="5"/>
  <c r="P54" i="5"/>
  <c r="T64" i="5"/>
  <c r="AJ69" i="5"/>
  <c r="V68" i="5"/>
  <c r="V95" i="5" s="1"/>
  <c r="V97" i="5" s="1"/>
  <c r="V100" i="5" s="1"/>
  <c r="AI80" i="5"/>
  <c r="L108" i="7"/>
  <c r="K108" i="7"/>
  <c r="K111" i="7" s="1"/>
  <c r="AE115" i="6"/>
  <c r="AE117" i="6" s="1"/>
  <c r="AE120" i="6" s="1"/>
  <c r="AQ115" i="6"/>
  <c r="AQ117" i="6" s="1"/>
  <c r="AQ120" i="6" s="1"/>
  <c r="AD115" i="6"/>
  <c r="AD117" i="6" s="1"/>
  <c r="AD120" i="6" s="1"/>
  <c r="AJ33" i="6"/>
  <c r="P70" i="6"/>
  <c r="O70" i="6"/>
  <c r="AL6" i="6"/>
  <c r="AL70" i="6" s="1"/>
  <c r="AL115" i="6" s="1"/>
  <c r="AL117" i="6" s="1"/>
  <c r="AP128" i="6" s="1"/>
  <c r="AG115" i="6"/>
  <c r="M115" i="6"/>
  <c r="N7" i="7"/>
  <c r="P115" i="6"/>
  <c r="O115" i="6"/>
  <c r="O117" i="6"/>
  <c r="P117" i="6"/>
  <c r="N120" i="6"/>
  <c r="U6" i="6"/>
  <c r="S70" i="6"/>
  <c r="T6" i="6"/>
  <c r="AK88" i="6"/>
  <c r="AJ88" i="6"/>
  <c r="AF115" i="6"/>
  <c r="AK13" i="6"/>
  <c r="AI9" i="6"/>
  <c r="AJ13" i="6"/>
  <c r="AH13" i="5"/>
  <c r="AJ13" i="5" s="1"/>
  <c r="AK13" i="5"/>
  <c r="AK9" i="5" s="1"/>
  <c r="N95" i="5"/>
  <c r="N97" i="5" s="1"/>
  <c r="P50" i="5"/>
  <c r="O50" i="5"/>
  <c r="T9" i="5"/>
  <c r="AI74" i="5"/>
  <c r="U9" i="5"/>
  <c r="U33" i="5"/>
  <c r="AI51" i="5"/>
  <c r="AI64" i="5"/>
  <c r="P33" i="5"/>
  <c r="P6" i="5" s="1"/>
  <c r="T33" i="5"/>
  <c r="AK34" i="5"/>
  <c r="AK33" i="5" s="1"/>
  <c r="AP64" i="5"/>
  <c r="AP95" i="5" s="1"/>
  <c r="AP97" i="5" s="1"/>
  <c r="AP100" i="5" s="1"/>
  <c r="AJ34" i="5"/>
  <c r="AQ51" i="5"/>
  <c r="AQ95" i="5" s="1"/>
  <c r="AQ97" i="5" s="1"/>
  <c r="AQ100" i="5" s="1"/>
  <c r="O54" i="5"/>
  <c r="U54" i="5"/>
  <c r="U64" i="5"/>
  <c r="AJ74" i="5"/>
  <c r="S6" i="5"/>
  <c r="R6" i="5"/>
  <c r="R50" i="5" s="1"/>
  <c r="R95" i="5" s="1"/>
  <c r="R97" i="5" s="1"/>
  <c r="R100" i="5" s="1"/>
  <c r="AA6" i="5"/>
  <c r="AA50" i="5" s="1"/>
  <c r="AA95" i="5" s="1"/>
  <c r="AA97" i="5" s="1"/>
  <c r="AA100" i="5" s="1"/>
  <c r="AE6" i="5"/>
  <c r="AE50" i="5" s="1"/>
  <c r="AI54" i="5"/>
  <c r="AN69" i="5"/>
  <c r="AN68" i="5" s="1"/>
  <c r="AN95" i="5" s="1"/>
  <c r="AN97" i="5" s="1"/>
  <c r="AN100" i="5" s="1"/>
  <c r="AP128" i="5"/>
  <c r="N6" i="7" l="1"/>
  <c r="T136" i="7"/>
  <c r="T137" i="7" s="1"/>
  <c r="P105" i="7"/>
  <c r="O105" i="7"/>
  <c r="T108" i="7"/>
  <c r="T111" i="7" s="1"/>
  <c r="U108" i="7"/>
  <c r="U111" i="7" s="1"/>
  <c r="Q70" i="7"/>
  <c r="Q106" i="7" s="1"/>
  <c r="Q133" i="7" s="1"/>
  <c r="Q134" i="7" s="1"/>
  <c r="V108" i="7"/>
  <c r="V111" i="7" s="1"/>
  <c r="P7" i="7"/>
  <c r="O7" i="7"/>
  <c r="AJ68" i="5"/>
  <c r="P95" i="5"/>
  <c r="AE95" i="5"/>
  <c r="AE97" i="5" s="1"/>
  <c r="AE100" i="5" s="1"/>
  <c r="AI33" i="5"/>
  <c r="AL120" i="6"/>
  <c r="AM121" i="6" s="1"/>
  <c r="J108" i="7"/>
  <c r="L111" i="7"/>
  <c r="AI6" i="6"/>
  <c r="AJ9" i="6"/>
  <c r="AK9" i="6"/>
  <c r="P120" i="6"/>
  <c r="O120" i="6"/>
  <c r="AF117" i="6"/>
  <c r="AJ115" i="6"/>
  <c r="T70" i="6"/>
  <c r="T115" i="6" s="1"/>
  <c r="T134" i="6"/>
  <c r="U70" i="6"/>
  <c r="U115" i="6" s="1"/>
  <c r="S115" i="6"/>
  <c r="S117" i="6" s="1"/>
  <c r="O95" i="5"/>
  <c r="AI13" i="5"/>
  <c r="AH9" i="5"/>
  <c r="AJ9" i="5" s="1"/>
  <c r="AK6" i="5"/>
  <c r="AK50" i="5" s="1"/>
  <c r="AK95" i="5" s="1"/>
  <c r="AK97" i="5" s="1"/>
  <c r="AK100" i="5" s="1"/>
  <c r="AL101" i="5" s="1"/>
  <c r="S50" i="5"/>
  <c r="U6" i="5"/>
  <c r="T6" i="5"/>
  <c r="AI95" i="5"/>
  <c r="AI97" i="5"/>
  <c r="AF100" i="5"/>
  <c r="P97" i="5"/>
  <c r="O97" i="5"/>
  <c r="N100" i="5"/>
  <c r="N70" i="7" l="1"/>
  <c r="O6" i="7"/>
  <c r="N106" i="7"/>
  <c r="N108" i="7" s="1"/>
  <c r="N111" i="7" s="1"/>
  <c r="O70" i="7"/>
  <c r="P70" i="7"/>
  <c r="Q108" i="7"/>
  <c r="P6" i="7"/>
  <c r="J111" i="7"/>
  <c r="T117" i="6"/>
  <c r="U117" i="6"/>
  <c r="S120" i="6"/>
  <c r="AJ117" i="6"/>
  <c r="AF120" i="6"/>
  <c r="AI70" i="6"/>
  <c r="AJ6" i="6"/>
  <c r="AK6" i="6"/>
  <c r="AI9" i="5"/>
  <c r="AH6" i="5"/>
  <c r="AO108" i="5"/>
  <c r="AJ100" i="5"/>
  <c r="AI100" i="5"/>
  <c r="U50" i="5"/>
  <c r="U95" i="5" s="1"/>
  <c r="T114" i="5"/>
  <c r="S95" i="5"/>
  <c r="S97" i="5" s="1"/>
  <c r="T50" i="5"/>
  <c r="T95" i="5" s="1"/>
  <c r="P100" i="5"/>
  <c r="O100" i="5"/>
  <c r="O106" i="7" l="1"/>
  <c r="P106" i="7"/>
  <c r="Q111" i="7"/>
  <c r="O111" i="7"/>
  <c r="P111" i="7"/>
  <c r="P108" i="7"/>
  <c r="O108" i="7"/>
  <c r="U120" i="6"/>
  <c r="T120" i="6"/>
  <c r="AK70" i="6"/>
  <c r="AK115" i="6" s="1"/>
  <c r="AI151" i="6"/>
  <c r="AI115" i="6"/>
  <c r="AJ70" i="6"/>
  <c r="AK120" i="6"/>
  <c r="AJ120" i="6"/>
  <c r="AH50" i="5"/>
  <c r="AH131" i="5" s="1"/>
  <c r="AI6" i="5"/>
  <c r="AJ6" i="5"/>
  <c r="U97" i="5"/>
  <c r="T97" i="5"/>
  <c r="S100" i="5"/>
  <c r="AI153" i="6" l="1"/>
  <c r="AK151" i="6"/>
  <c r="AJ151" i="6"/>
  <c r="AJ50" i="5"/>
  <c r="AJ95" i="5" s="1"/>
  <c r="AI50" i="5"/>
  <c r="AH95" i="5"/>
  <c r="U100" i="5"/>
  <c r="T100" i="5"/>
  <c r="AJ153" i="6" l="1"/>
  <c r="AI154" i="6"/>
  <c r="AK153" i="6"/>
  <c r="AH133" i="5"/>
  <c r="AI131" i="5"/>
  <c r="AJ131" i="5"/>
  <c r="AK154" i="6" l="1"/>
  <c r="AJ154" i="6"/>
  <c r="AJ133" i="5"/>
  <c r="AI133" i="5"/>
  <c r="AH134" i="5"/>
  <c r="AJ134" i="5" l="1"/>
  <c r="AI134" i="5"/>
  <c r="AE132" i="1" l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AF132" i="1"/>
  <c r="AH129" i="1" l="1"/>
  <c r="AK38" i="1"/>
  <c r="AJ43" i="1"/>
  <c r="AH96" i="1" l="1"/>
  <c r="AJ96" i="1" s="1"/>
  <c r="AM76" i="1"/>
  <c r="AK46" i="1"/>
  <c r="AK45" i="1"/>
  <c r="AK44" i="1"/>
  <c r="AK43" i="1"/>
  <c r="AK42" i="1"/>
  <c r="AK41" i="1"/>
  <c r="AK40" i="1"/>
  <c r="AK39" i="1"/>
  <c r="AK37" i="1"/>
  <c r="AK36" i="1"/>
  <c r="AK35" i="1"/>
  <c r="AK31" i="1"/>
  <c r="AK30" i="1"/>
  <c r="AK29" i="1"/>
  <c r="AK28" i="1"/>
  <c r="AK27" i="1"/>
  <c r="AK25" i="1"/>
  <c r="AK24" i="1"/>
  <c r="AK23" i="1"/>
  <c r="AK22" i="1"/>
  <c r="AK21" i="1"/>
  <c r="AK20" i="1"/>
  <c r="AK19" i="1"/>
  <c r="AK18" i="1"/>
  <c r="AK17" i="1"/>
  <c r="AK16" i="1"/>
  <c r="AK15" i="1"/>
  <c r="AJ40" i="1"/>
  <c r="AI40" i="1"/>
  <c r="AG86" i="1"/>
  <c r="AG80" i="1"/>
  <c r="AG74" i="1"/>
  <c r="AG69" i="1"/>
  <c r="AG34" i="1"/>
  <c r="AG33" i="1" s="1"/>
  <c r="AG9" i="1"/>
  <c r="AG68" i="1" l="1"/>
  <c r="AG6" i="1"/>
  <c r="AG50" i="1" s="1"/>
  <c r="AG95" i="1" l="1"/>
  <c r="AH26" i="1"/>
  <c r="AK12" i="1"/>
  <c r="AJ12" i="1"/>
  <c r="AH13" i="1" l="1"/>
  <c r="AH9" i="1" s="1"/>
  <c r="AK26" i="1"/>
  <c r="AJ31" i="1"/>
  <c r="AJ30" i="1"/>
  <c r="AJ29" i="1"/>
  <c r="AJ28" i="1"/>
  <c r="AI31" i="1"/>
  <c r="AI30" i="1"/>
  <c r="AI29" i="1"/>
  <c r="AI28" i="1"/>
  <c r="AJ11" i="1"/>
  <c r="AJ10" i="1"/>
  <c r="AI11" i="1"/>
  <c r="AI10" i="1"/>
  <c r="AH80" i="1" l="1"/>
  <c r="AO80" i="1" s="1"/>
  <c r="AH74" i="1"/>
  <c r="AH69" i="1"/>
  <c r="AN69" i="1" s="1"/>
  <c r="AH86" i="1" l="1"/>
  <c r="AH68" i="1" l="1"/>
  <c r="AK86" i="1"/>
  <c r="AH34" i="1"/>
  <c r="AK34" i="1" s="1"/>
  <c r="AH33" i="1" l="1"/>
  <c r="AH6" i="1" s="1"/>
  <c r="AJ34" i="1"/>
  <c r="AI34" i="1"/>
  <c r="AJ66" i="1"/>
  <c r="AH50" i="1" l="1"/>
  <c r="S110" i="1"/>
  <c r="AF110" i="1"/>
  <c r="AF128" i="1"/>
  <c r="AH95" i="1" l="1"/>
  <c r="AH130" i="1"/>
  <c r="AH132" i="1" s="1"/>
  <c r="AE110" i="1"/>
  <c r="S128" i="1"/>
  <c r="AP115" i="1"/>
  <c r="AE128" i="1"/>
  <c r="AN128" i="1"/>
  <c r="AH133" i="1" l="1"/>
  <c r="AJ132" i="1"/>
  <c r="AI132" i="1"/>
  <c r="AJ130" i="1"/>
  <c r="AI130" i="1"/>
  <c r="AP116" i="1"/>
  <c r="AP117" i="1"/>
  <c r="AP62" i="1"/>
  <c r="AJ62" i="1"/>
  <c r="U62" i="1"/>
  <c r="P62" i="1"/>
  <c r="AJ133" i="1" l="1"/>
  <c r="AI133" i="1"/>
  <c r="AE124" i="1"/>
  <c r="AP126" i="1"/>
  <c r="AQ53" i="1"/>
  <c r="AQ52" i="1"/>
  <c r="AM74" i="1" l="1"/>
  <c r="AM68" i="1" s="1"/>
  <c r="AL74" i="1"/>
  <c r="AL68" i="1" s="1"/>
  <c r="AK74" i="1"/>
  <c r="AM6" i="1"/>
  <c r="AM50" i="1" s="1"/>
  <c r="AL9" i="1"/>
  <c r="AL6" i="1" s="1"/>
  <c r="AL50" i="1" s="1"/>
  <c r="AK10" i="1"/>
  <c r="AL95" i="1" l="1"/>
  <c r="AL97" i="1" s="1"/>
  <c r="AL100" i="1" s="1"/>
  <c r="AM95" i="1"/>
  <c r="AM97" i="1" s="1"/>
  <c r="AM100" i="1" s="1"/>
  <c r="AK99" i="1"/>
  <c r="AK98" i="1"/>
  <c r="AJ99" i="1" l="1"/>
  <c r="AI99" i="1"/>
  <c r="AJ98" i="1"/>
  <c r="AI98" i="1"/>
  <c r="AJ76" i="1"/>
  <c r="AI76" i="1"/>
  <c r="AJ73" i="1"/>
  <c r="AI73" i="1"/>
  <c r="AJ72" i="1"/>
  <c r="AI72" i="1"/>
  <c r="AJ71" i="1"/>
  <c r="AI71" i="1"/>
  <c r="AJ67" i="1"/>
  <c r="AJ65" i="1"/>
  <c r="AI65" i="1"/>
  <c r="AJ63" i="1"/>
  <c r="AJ60" i="1"/>
  <c r="AJ59" i="1"/>
  <c r="AI59" i="1"/>
  <c r="AJ58" i="1"/>
  <c r="AJ57" i="1"/>
  <c r="AI57" i="1"/>
  <c r="AJ56" i="1"/>
  <c r="AI56" i="1"/>
  <c r="AJ55" i="1"/>
  <c r="AI55" i="1"/>
  <c r="AJ53" i="1"/>
  <c r="AI53" i="1"/>
  <c r="AJ52" i="1"/>
  <c r="AI52" i="1"/>
  <c r="AJ32" i="1"/>
  <c r="AJ97" i="1" l="1"/>
  <c r="AP67" i="1"/>
  <c r="AP66" i="1"/>
  <c r="AP65" i="1"/>
  <c r="AP63" i="1"/>
  <c r="AP61" i="1"/>
  <c r="AP60" i="1"/>
  <c r="AP59" i="1"/>
  <c r="AP58" i="1"/>
  <c r="AP57" i="1"/>
  <c r="AP56" i="1"/>
  <c r="AP55" i="1"/>
  <c r="AK11" i="1"/>
  <c r="AJ61" i="1" l="1"/>
  <c r="U61" i="1"/>
  <c r="P61" i="1"/>
  <c r="AF33" i="1" l="1"/>
  <c r="AF124" i="1"/>
  <c r="AF121" i="1"/>
  <c r="AF118" i="1"/>
  <c r="AF114" i="1"/>
  <c r="AF86" i="1"/>
  <c r="AF80" i="1"/>
  <c r="AF74" i="1"/>
  <c r="AF69" i="1"/>
  <c r="AF64" i="1"/>
  <c r="AF54" i="1"/>
  <c r="AF51" i="1"/>
  <c r="AF13" i="1"/>
  <c r="AI13" i="1" l="1"/>
  <c r="AJ13" i="1"/>
  <c r="AJ33" i="1"/>
  <c r="AI33" i="1"/>
  <c r="AF9" i="1"/>
  <c r="AF68" i="1"/>
  <c r="AI105" i="1"/>
  <c r="AO103" i="1"/>
  <c r="AI9" i="1" l="1"/>
  <c r="AJ9" i="1"/>
  <c r="AF6" i="1"/>
  <c r="G5" i="2"/>
  <c r="F5" i="2"/>
  <c r="F32" i="2" s="1"/>
  <c r="E5" i="2"/>
  <c r="E32" i="2" s="1"/>
  <c r="C5" i="2"/>
  <c r="G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  <c r="D7" i="2"/>
  <c r="AJ6" i="1" l="1"/>
  <c r="AI6" i="1"/>
  <c r="AF50" i="1"/>
  <c r="C32" i="2"/>
  <c r="AF95" i="1" l="1"/>
  <c r="AF97" i="1" s="1"/>
  <c r="AF100" i="1" s="1"/>
  <c r="AJ50" i="1"/>
  <c r="AI50" i="1"/>
  <c r="B13" i="2"/>
  <c r="B5" i="2" s="1"/>
  <c r="D5" i="2" s="1"/>
  <c r="D32" i="2" s="1"/>
  <c r="D13" i="2" l="1"/>
  <c r="B32" i="2" l="1"/>
  <c r="AQ68" i="1" l="1"/>
  <c r="AP68" i="1"/>
  <c r="AC68" i="1"/>
  <c r="AB68" i="1"/>
  <c r="AA68" i="1"/>
  <c r="Z68" i="1"/>
  <c r="Y68" i="1"/>
  <c r="X68" i="1"/>
  <c r="X95" i="1" s="1"/>
  <c r="S68" i="1"/>
  <c r="N68" i="1"/>
  <c r="L68" i="1"/>
  <c r="J68" i="1"/>
  <c r="AO105" i="1" l="1"/>
  <c r="AI104" i="1" l="1"/>
  <c r="AD102" i="1"/>
  <c r="AO106" i="1"/>
  <c r="AP106" i="1"/>
  <c r="AI96" i="1"/>
  <c r="AK108" i="1" l="1"/>
  <c r="AQ106" i="1"/>
  <c r="AP103" i="1" l="1"/>
  <c r="AP104" i="1"/>
  <c r="AP107" i="1" l="1"/>
  <c r="AO107" i="1"/>
  <c r="AE86" i="1" l="1"/>
  <c r="AE80" i="1"/>
  <c r="AE69" i="1"/>
  <c r="AD69" i="1"/>
  <c r="AE74" i="1"/>
  <c r="AD13" i="1"/>
  <c r="AD9" i="1" s="1"/>
  <c r="AP123" i="1"/>
  <c r="AE121" i="1"/>
  <c r="AP120" i="1"/>
  <c r="AJ120" i="1"/>
  <c r="AE118" i="1"/>
  <c r="AD86" i="1"/>
  <c r="AD80" i="1"/>
  <c r="AD74" i="1"/>
  <c r="AQ64" i="1"/>
  <c r="AP64" i="1"/>
  <c r="AO64" i="1"/>
  <c r="AN64" i="1"/>
  <c r="AK64" i="1"/>
  <c r="AE64" i="1"/>
  <c r="AD64" i="1"/>
  <c r="AQ54" i="1"/>
  <c r="AO54" i="1"/>
  <c r="AN54" i="1"/>
  <c r="AK54" i="1"/>
  <c r="AE54" i="1"/>
  <c r="AD54" i="1"/>
  <c r="AP51" i="1"/>
  <c r="AO51" i="1"/>
  <c r="AN51" i="1"/>
  <c r="AK51" i="1"/>
  <c r="AE51" i="1"/>
  <c r="AJ49" i="1"/>
  <c r="AJ48" i="1"/>
  <c r="AJ45" i="1"/>
  <c r="AJ44" i="1"/>
  <c r="AJ42" i="1"/>
  <c r="AJ41" i="1"/>
  <c r="AQ33" i="1"/>
  <c r="AP33" i="1"/>
  <c r="AO33" i="1"/>
  <c r="AN33" i="1"/>
  <c r="AK33" i="1"/>
  <c r="AE33" i="1"/>
  <c r="AD33" i="1"/>
  <c r="AQ13" i="1"/>
  <c r="AQ9" i="1" s="1"/>
  <c r="AP13" i="1"/>
  <c r="AP9" i="1" s="1"/>
  <c r="AO13" i="1"/>
  <c r="AO9" i="1" s="1"/>
  <c r="AN13" i="1"/>
  <c r="AN9" i="1" s="1"/>
  <c r="AK13" i="1"/>
  <c r="AK9" i="1" s="1"/>
  <c r="AE13" i="1"/>
  <c r="AP6" i="1" l="1"/>
  <c r="AP50" i="1" s="1"/>
  <c r="AP128" i="1"/>
  <c r="AJ69" i="1"/>
  <c r="AI69" i="1"/>
  <c r="AJ54" i="1"/>
  <c r="AI54" i="1"/>
  <c r="AO68" i="1"/>
  <c r="AJ80" i="1"/>
  <c r="AI80" i="1"/>
  <c r="AJ74" i="1"/>
  <c r="AI74" i="1"/>
  <c r="AJ86" i="1"/>
  <c r="AI86" i="1"/>
  <c r="AQ6" i="1"/>
  <c r="AQ50" i="1" s="1"/>
  <c r="AN6" i="1"/>
  <c r="AN50" i="1" s="1"/>
  <c r="AJ51" i="1"/>
  <c r="AI51" i="1"/>
  <c r="AJ64" i="1"/>
  <c r="AI64" i="1"/>
  <c r="AD68" i="1"/>
  <c r="AE68" i="1"/>
  <c r="AQ51" i="1"/>
  <c r="AN68" i="1"/>
  <c r="AP54" i="1"/>
  <c r="AE9" i="1"/>
  <c r="AK68" i="1"/>
  <c r="AK6" i="1"/>
  <c r="AK50" i="1" s="1"/>
  <c r="AD6" i="1"/>
  <c r="AD50" i="1" s="1"/>
  <c r="AO6" i="1"/>
  <c r="AO50" i="1" s="1"/>
  <c r="AB126" i="1"/>
  <c r="AB123" i="1"/>
  <c r="AB120" i="1"/>
  <c r="Z128" i="1"/>
  <c r="AC96" i="1"/>
  <c r="AA96" i="1"/>
  <c r="Z96" i="1"/>
  <c r="Y96" i="1"/>
  <c r="AC51" i="1"/>
  <c r="S51" i="1"/>
  <c r="AO95" i="1" l="1"/>
  <c r="AO97" i="1" s="1"/>
  <c r="AO100" i="1" s="1"/>
  <c r="AP95" i="1"/>
  <c r="AP97" i="1" s="1"/>
  <c r="AP100" i="1" s="1"/>
  <c r="AE6" i="1"/>
  <c r="AI68" i="1"/>
  <c r="AJ68" i="1"/>
  <c r="AN95" i="1"/>
  <c r="AN97" i="1" s="1"/>
  <c r="AN100" i="1" s="1"/>
  <c r="AQ95" i="1"/>
  <c r="AQ97" i="1" s="1"/>
  <c r="AQ100" i="1" s="1"/>
  <c r="AD95" i="1"/>
  <c r="AD97" i="1" s="1"/>
  <c r="AD100" i="1" s="1"/>
  <c r="AK95" i="1"/>
  <c r="AC64" i="1"/>
  <c r="AB64" i="1"/>
  <c r="AA64" i="1"/>
  <c r="Z64" i="1"/>
  <c r="Y64" i="1"/>
  <c r="S64" i="1"/>
  <c r="R64" i="1"/>
  <c r="Q64" i="1"/>
  <c r="N64" i="1"/>
  <c r="M64" i="1"/>
  <c r="L64" i="1"/>
  <c r="J64" i="1"/>
  <c r="W64" i="1"/>
  <c r="V64" i="1"/>
  <c r="K64" i="1"/>
  <c r="H64" i="1"/>
  <c r="AE50" i="1" l="1"/>
  <c r="U64" i="1"/>
  <c r="AK97" i="1"/>
  <c r="AO108" i="1" s="1"/>
  <c r="T64" i="1"/>
  <c r="U59" i="1"/>
  <c r="U58" i="1"/>
  <c r="U57" i="1"/>
  <c r="U56" i="1"/>
  <c r="U55" i="1"/>
  <c r="AE95" i="1" l="1"/>
  <c r="AI95" i="1" s="1"/>
  <c r="AK100" i="1"/>
  <c r="AL101" i="1" s="1"/>
  <c r="AC54" i="1"/>
  <c r="AB54" i="1"/>
  <c r="AA54" i="1"/>
  <c r="Z54" i="1"/>
  <c r="Y54" i="1"/>
  <c r="AB51" i="1"/>
  <c r="AA51" i="1"/>
  <c r="Z51" i="1"/>
  <c r="Y51" i="1"/>
  <c r="AC33" i="1"/>
  <c r="AB33" i="1"/>
  <c r="AA33" i="1"/>
  <c r="Z33" i="1"/>
  <c r="Y33" i="1"/>
  <c r="AC13" i="1"/>
  <c r="AC9" i="1" s="1"/>
  <c r="AB13" i="1"/>
  <c r="AB9" i="1" s="1"/>
  <c r="AA13" i="1"/>
  <c r="AA9" i="1" s="1"/>
  <c r="Z13" i="1"/>
  <c r="Z9" i="1" s="1"/>
  <c r="Y13" i="1"/>
  <c r="Y9" i="1" s="1"/>
  <c r="AE97" i="1" l="1"/>
  <c r="AI97" i="1" s="1"/>
  <c r="Y6" i="1"/>
  <c r="Y50" i="1" s="1"/>
  <c r="Y95" i="1" s="1"/>
  <c r="Y97" i="1" s="1"/>
  <c r="Y100" i="1" s="1"/>
  <c r="AA6" i="1"/>
  <c r="AA50" i="1" s="1"/>
  <c r="AA95" i="1" s="1"/>
  <c r="AA97" i="1" s="1"/>
  <c r="AA100" i="1" s="1"/>
  <c r="AE100" i="1"/>
  <c r="AB6" i="1"/>
  <c r="AB50" i="1" s="1"/>
  <c r="AC6" i="1"/>
  <c r="AC50" i="1" s="1"/>
  <c r="AC95" i="1" s="1"/>
  <c r="Z6" i="1"/>
  <c r="U120" i="1"/>
  <c r="AI100" i="1" l="1"/>
  <c r="AJ100" i="1"/>
  <c r="AB95" i="1"/>
  <c r="AB97" i="1" s="1"/>
  <c r="AB100" i="1" s="1"/>
  <c r="Z50" i="1"/>
  <c r="Z95" i="1" s="1"/>
  <c r="AC97" i="1"/>
  <c r="AC100" i="1" s="1"/>
  <c r="L10" i="3"/>
  <c r="J10" i="3"/>
  <c r="I10" i="3"/>
  <c r="H10" i="3"/>
  <c r="G10" i="3"/>
  <c r="F10" i="3"/>
  <c r="E10" i="3"/>
  <c r="D10" i="3"/>
  <c r="C10" i="3"/>
  <c r="B10" i="3"/>
  <c r="K9" i="3"/>
  <c r="K8" i="3"/>
  <c r="K7" i="3"/>
  <c r="K6" i="3"/>
  <c r="K5" i="3"/>
  <c r="K4" i="3"/>
  <c r="K3" i="3"/>
  <c r="Z97" i="1" l="1"/>
  <c r="K10" i="3"/>
  <c r="Z100" i="1" l="1"/>
  <c r="S124" i="1"/>
  <c r="S118" i="1" l="1"/>
  <c r="R102" i="1"/>
  <c r="S121" i="1" l="1"/>
  <c r="U96" i="1" l="1"/>
  <c r="T96" i="1"/>
  <c r="R9" i="1" l="1"/>
  <c r="Q9" i="1"/>
  <c r="N9" i="1"/>
  <c r="M9" i="1"/>
  <c r="L9" i="1"/>
  <c r="K9" i="1"/>
  <c r="K6" i="1" s="1"/>
  <c r="J9" i="1"/>
  <c r="H9" i="1"/>
  <c r="U10" i="1"/>
  <c r="T10" i="1"/>
  <c r="P10" i="1"/>
  <c r="O10" i="1"/>
  <c r="S13" i="1"/>
  <c r="S9" i="1" l="1"/>
  <c r="I50" i="1" l="1"/>
  <c r="K54" i="1"/>
  <c r="K50" i="1"/>
  <c r="U65" i="1" l="1"/>
  <c r="U99" i="1"/>
  <c r="T99" i="1"/>
  <c r="U98" i="1"/>
  <c r="T98" i="1"/>
  <c r="U86" i="1"/>
  <c r="T86" i="1"/>
  <c r="U80" i="1"/>
  <c r="T80" i="1"/>
  <c r="U74" i="1"/>
  <c r="T74" i="1"/>
  <c r="U69" i="1"/>
  <c r="T69" i="1"/>
  <c r="U67" i="1"/>
  <c r="U66" i="1"/>
  <c r="T65" i="1"/>
  <c r="T57" i="1"/>
  <c r="T56" i="1"/>
  <c r="T55" i="1"/>
  <c r="U51" i="1"/>
  <c r="T51" i="1"/>
  <c r="U49" i="1"/>
  <c r="U48" i="1"/>
  <c r="T48" i="1"/>
  <c r="U34" i="1"/>
  <c r="U45" i="1"/>
  <c r="U44" i="1"/>
  <c r="U43" i="1"/>
  <c r="U42" i="1"/>
  <c r="U41" i="1"/>
  <c r="U40" i="1"/>
  <c r="U32" i="1"/>
  <c r="U31" i="1"/>
  <c r="U30" i="1"/>
  <c r="U29" i="1"/>
  <c r="U28" i="1"/>
  <c r="U11" i="1"/>
  <c r="T40" i="1"/>
  <c r="T31" i="1"/>
  <c r="T30" i="1"/>
  <c r="T29" i="1"/>
  <c r="T28" i="1"/>
  <c r="T11" i="1"/>
  <c r="U68" i="1" l="1"/>
  <c r="T68" i="1"/>
  <c r="S33" i="1"/>
  <c r="U9" i="1"/>
  <c r="T9" i="1"/>
  <c r="U63" i="1"/>
  <c r="U60" i="1"/>
  <c r="S54" i="1"/>
  <c r="T34" i="1"/>
  <c r="S6" i="1" l="1"/>
  <c r="Q33" i="1"/>
  <c r="Q6" i="1" s="1"/>
  <c r="M33" i="1"/>
  <c r="R33" i="1"/>
  <c r="W69" i="1"/>
  <c r="V69" i="1"/>
  <c r="W74" i="1"/>
  <c r="V74" i="1"/>
  <c r="R74" i="1"/>
  <c r="W80" i="1"/>
  <c r="V80" i="1"/>
  <c r="R80" i="1"/>
  <c r="W86" i="1"/>
  <c r="V86" i="1"/>
  <c r="R86" i="1"/>
  <c r="Q74" i="1"/>
  <c r="Q69" i="1"/>
  <c r="Q80" i="1"/>
  <c r="Q86" i="1"/>
  <c r="M69" i="1"/>
  <c r="M74" i="1"/>
  <c r="M80" i="1"/>
  <c r="M86" i="1"/>
  <c r="W54" i="1"/>
  <c r="W6" i="1"/>
  <c r="W50" i="1" s="1"/>
  <c r="V54" i="1"/>
  <c r="V6" i="1"/>
  <c r="V50" i="1" s="1"/>
  <c r="R54" i="1"/>
  <c r="M42" i="4"/>
  <c r="L42" i="4"/>
  <c r="M41" i="4"/>
  <c r="L41" i="4"/>
  <c r="M37" i="4"/>
  <c r="L37" i="4"/>
  <c r="M36" i="4"/>
  <c r="L36" i="4"/>
  <c r="M35" i="4"/>
  <c r="L35" i="4"/>
  <c r="M34" i="4"/>
  <c r="L34" i="4"/>
  <c r="M32" i="4"/>
  <c r="L32" i="4"/>
  <c r="K31" i="4"/>
  <c r="J31" i="4"/>
  <c r="I31" i="4"/>
  <c r="H31" i="4"/>
  <c r="M30" i="4"/>
  <c r="M28" i="4"/>
  <c r="M27" i="4"/>
  <c r="L27" i="4"/>
  <c r="M26" i="4"/>
  <c r="L26" i="4"/>
  <c r="M25" i="4"/>
  <c r="L25" i="4"/>
  <c r="M24" i="4"/>
  <c r="L24" i="4"/>
  <c r="K23" i="4"/>
  <c r="J23" i="4"/>
  <c r="I23" i="4"/>
  <c r="H23" i="4"/>
  <c r="M22" i="4"/>
  <c r="L22" i="4"/>
  <c r="M19" i="4"/>
  <c r="L19" i="4"/>
  <c r="M18" i="4"/>
  <c r="L18" i="4"/>
  <c r="M17" i="4"/>
  <c r="L17" i="4"/>
  <c r="M16" i="4"/>
  <c r="L16" i="4"/>
  <c r="K15" i="4"/>
  <c r="J15" i="4"/>
  <c r="J6" i="4" s="1"/>
  <c r="I15" i="4"/>
  <c r="I6" i="4" s="1"/>
  <c r="I21" i="4" s="1"/>
  <c r="H15" i="4"/>
  <c r="H6" i="4" s="1"/>
  <c r="H21" i="4" s="1"/>
  <c r="M13" i="4"/>
  <c r="L13" i="4"/>
  <c r="M12" i="4"/>
  <c r="L12" i="4"/>
  <c r="M11" i="4"/>
  <c r="L11" i="4"/>
  <c r="M10" i="4"/>
  <c r="L10" i="4"/>
  <c r="M9" i="4"/>
  <c r="L9" i="4"/>
  <c r="M8" i="4"/>
  <c r="L8" i="4"/>
  <c r="K6" i="4"/>
  <c r="K21" i="4" s="1"/>
  <c r="H33" i="4" l="1"/>
  <c r="H38" i="4" s="1"/>
  <c r="H40" i="4" s="1"/>
  <c r="H43" i="4" s="1"/>
  <c r="M68" i="1"/>
  <c r="R68" i="1"/>
  <c r="V68" i="1"/>
  <c r="V95" i="1" s="1"/>
  <c r="V97" i="1" s="1"/>
  <c r="V100" i="1" s="1"/>
  <c r="Q68" i="1"/>
  <c r="Q95" i="1" s="1"/>
  <c r="W68" i="1"/>
  <c r="W95" i="1" s="1"/>
  <c r="W97" i="1" s="1"/>
  <c r="W100" i="1" s="1"/>
  <c r="M15" i="4"/>
  <c r="M31" i="4"/>
  <c r="M23" i="4"/>
  <c r="L31" i="4"/>
  <c r="I33" i="4"/>
  <c r="I38" i="4" s="1"/>
  <c r="I40" i="4" s="1"/>
  <c r="I43" i="4" s="1"/>
  <c r="L23" i="4"/>
  <c r="R6" i="1"/>
  <c r="R50" i="1" s="1"/>
  <c r="M6" i="1"/>
  <c r="M50" i="1" s="1"/>
  <c r="T33" i="1"/>
  <c r="S50" i="1"/>
  <c r="S95" i="1" s="1"/>
  <c r="L6" i="4"/>
  <c r="J21" i="4"/>
  <c r="J33" i="4" s="1"/>
  <c r="J38" i="4" s="1"/>
  <c r="J40" i="4" s="1"/>
  <c r="J43" i="4" s="1"/>
  <c r="K33" i="4"/>
  <c r="M6" i="4"/>
  <c r="L15" i="4"/>
  <c r="P99" i="1"/>
  <c r="P98" i="1"/>
  <c r="O99" i="1"/>
  <c r="O98" i="1"/>
  <c r="R95" i="1" l="1"/>
  <c r="R97" i="1" s="1"/>
  <c r="R100" i="1" s="1"/>
  <c r="M95" i="1"/>
  <c r="M21" i="4"/>
  <c r="L21" i="4"/>
  <c r="AJ95" i="1"/>
  <c r="T114" i="1"/>
  <c r="L33" i="4"/>
  <c r="K38" i="4"/>
  <c r="M33" i="4"/>
  <c r="P51" i="1"/>
  <c r="O51" i="1"/>
  <c r="K40" i="4" l="1"/>
  <c r="M38" i="4"/>
  <c r="L38" i="4"/>
  <c r="P74" i="1"/>
  <c r="O74" i="1"/>
  <c r="P43" i="1"/>
  <c r="O43" i="1"/>
  <c r="P40" i="1"/>
  <c r="O40" i="1"/>
  <c r="P34" i="1"/>
  <c r="O34" i="1"/>
  <c r="H33" i="1"/>
  <c r="H6" i="1" s="1"/>
  <c r="J33" i="1"/>
  <c r="J6" i="1" s="1"/>
  <c r="L33" i="1"/>
  <c r="L6" i="1" s="1"/>
  <c r="N33" i="1"/>
  <c r="N6" i="1" l="1"/>
  <c r="U33" i="1"/>
  <c r="S97" i="1"/>
  <c r="S100" i="1" s="1"/>
  <c r="L40" i="4"/>
  <c r="K43" i="4"/>
  <c r="M40" i="4"/>
  <c r="L54" i="1"/>
  <c r="J54" i="1"/>
  <c r="M43" i="4" l="1"/>
  <c r="L43" i="4"/>
  <c r="J50" i="1"/>
  <c r="J95" i="1" s="1"/>
  <c r="L50" i="1"/>
  <c r="L95" i="1" s="1"/>
  <c r="N54" i="1"/>
  <c r="L97" i="1" l="1"/>
  <c r="L100" i="1" s="1"/>
  <c r="U54" i="1"/>
  <c r="T54" i="1"/>
  <c r="J97" i="1"/>
  <c r="J100" i="1" s="1"/>
  <c r="P66" i="1"/>
  <c r="P63" i="1" l="1"/>
  <c r="P67" i="1" l="1"/>
  <c r="P64" i="1" s="1"/>
  <c r="P60" i="1"/>
  <c r="P57" i="1"/>
  <c r="P56" i="1"/>
  <c r="P55" i="1"/>
  <c r="P86" i="1"/>
  <c r="P80" i="1"/>
  <c r="P69" i="1"/>
  <c r="P48" i="1"/>
  <c r="P33" i="1"/>
  <c r="P31" i="1"/>
  <c r="P30" i="1"/>
  <c r="P29" i="1"/>
  <c r="P28" i="1"/>
  <c r="P11" i="1"/>
  <c r="P9" i="1" s="1"/>
  <c r="O86" i="1"/>
  <c r="O80" i="1"/>
  <c r="O69" i="1"/>
  <c r="O67" i="1"/>
  <c r="O64" i="1" s="1"/>
  <c r="O60" i="1"/>
  <c r="O57" i="1"/>
  <c r="O56" i="1"/>
  <c r="O55" i="1"/>
  <c r="O33" i="1"/>
  <c r="O31" i="1"/>
  <c r="O30" i="1"/>
  <c r="O29" i="1"/>
  <c r="O28" i="1"/>
  <c r="O11" i="1"/>
  <c r="O9" i="1" s="1"/>
  <c r="O48" i="1"/>
  <c r="O54" i="1"/>
  <c r="H54" i="1"/>
  <c r="O68" i="1" l="1"/>
  <c r="P68" i="1"/>
  <c r="P6" i="1"/>
  <c r="O6" i="1"/>
  <c r="T6" i="1"/>
  <c r="U6" i="1"/>
  <c r="H50" i="1"/>
  <c r="H68" i="1" s="1"/>
  <c r="H95" i="1" s="1"/>
  <c r="H97" i="1" s="1"/>
  <c r="H100" i="1" s="1"/>
  <c r="N50" i="1"/>
  <c r="N95" i="1" s="1"/>
  <c r="P54" i="1"/>
  <c r="U50" i="1" l="1"/>
  <c r="U95" i="1" s="1"/>
  <c r="T50" i="1"/>
  <c r="T95" i="1" s="1"/>
  <c r="P50" i="1"/>
  <c r="P95" i="1" s="1"/>
  <c r="O50" i="1"/>
  <c r="O95" i="1" s="1"/>
  <c r="N97" i="1" l="1"/>
  <c r="N100" i="1" l="1"/>
  <c r="P100" i="1" s="1"/>
  <c r="U97" i="1"/>
  <c r="T97" i="1"/>
  <c r="P97" i="1"/>
  <c r="O97" i="1"/>
  <c r="O100" i="1" l="1"/>
  <c r="U100" i="1"/>
  <c r="T100" i="1"/>
  <c r="N133" i="7" l="1"/>
</calcChain>
</file>

<file path=xl/sharedStrings.xml><?xml version="1.0" encoding="utf-8"?>
<sst xmlns="http://schemas.openxmlformats.org/spreadsheetml/2006/main" count="1027" uniqueCount="394">
  <si>
    <t>1. Prognazuojamos savivaldybės pajamos iš mokesčių ir kitos pajamos iš viso:</t>
  </si>
  <si>
    <t>GPM proc. SB-tams</t>
  </si>
  <si>
    <t>4) žemės mokestis</t>
  </si>
  <si>
    <t>3) nekilnojamo turto mokestis</t>
  </si>
  <si>
    <t>5) valst. žemės nuomos mokestis</t>
  </si>
  <si>
    <t xml:space="preserve">iš jų: </t>
  </si>
  <si>
    <t>1) gyventojų pajamų mokestis iš VMI</t>
  </si>
  <si>
    <t>2) gyventojų pajamų mokestis savivaldybių išlaidų struktūros skirtūmams išlyginti</t>
  </si>
  <si>
    <t>2. Valstybės biudžeto Bendrosios dotacijos kompensacija</t>
  </si>
  <si>
    <t>4.2. Krepšelio lėšoms finansuoti</t>
  </si>
  <si>
    <t>4.3. Savivaldybių mokykloms (klasėms), skirtoms šalies (regiono) mokiniams, turintiems specialiųjų</t>
  </si>
  <si>
    <t>4.4. Savivaldybių išlaidoms, patirtoms pritaikant informacinės sistemas euro įvedimui, kompensuoti</t>
  </si>
  <si>
    <t>3. Savivaldybės pajamų šaltiniai savarankiškoms funkcijoms (1+2)</t>
  </si>
  <si>
    <t xml:space="preserve"> Biudžetinių įstaigų pajamos už teikiamas paslaugas</t>
  </si>
  <si>
    <t>Aplinkos apsaugos rėmimo specialioji programa</t>
  </si>
  <si>
    <t>9.</t>
  </si>
  <si>
    <t>Vietinės rinkliavos</t>
  </si>
  <si>
    <t>PAJAMOS IŠ VISO:</t>
  </si>
  <si>
    <t>Rodiklio pavadinimas</t>
  </si>
  <si>
    <t>2015 m. priimtos pajamos</t>
  </si>
  <si>
    <t>2014 m. priimtos pajamos</t>
  </si>
  <si>
    <t>proc.</t>
  </si>
  <si>
    <t>suma</t>
  </si>
  <si>
    <t>6) paveldo turto  mokestis</t>
  </si>
  <si>
    <t>4.5. Atliekų tvarkymo sistemos infrastruktūros plėtoti</t>
  </si>
  <si>
    <t>4. Europos Sąjungos paramos lėšos</t>
  </si>
  <si>
    <t>5. Planuojama valstybės biudžeto speciali tikslinė dotacija (4 priedas):</t>
  </si>
  <si>
    <t xml:space="preserve"> Savivaldybėms vietinės reikšmės keliams (gatvėms) tieti, taisyti, prižiūrėti ir saugaus eismo sąlygoms užtikrinti</t>
  </si>
  <si>
    <t>10.</t>
  </si>
  <si>
    <t>11.</t>
  </si>
  <si>
    <t>2017 m. pajamos (projektas)</t>
  </si>
  <si>
    <t>2016 m. priimtos pajamos</t>
  </si>
  <si>
    <t>2017 m. palyginti su 2016 m.</t>
  </si>
  <si>
    <t>Skolintos lėšos</t>
  </si>
  <si>
    <t>Materialiojo ir nematerialiojo turto realizavimo pajamos</t>
  </si>
  <si>
    <t>iš jų:  valstybės rikliavos</t>
  </si>
  <si>
    <t>palūkanos už depozitus</t>
  </si>
  <si>
    <t>12.</t>
  </si>
  <si>
    <t>kitos neišvardyntos pajamos</t>
  </si>
  <si>
    <t>iš jų:  valstybės tarnautojams 15 proc. apskaičuoto gražintino neišmokėto darbo užmokesčio dalis</t>
  </si>
  <si>
    <t>7) dividendai</t>
  </si>
  <si>
    <t>8) kitos pajamos</t>
  </si>
  <si>
    <t>4.1. Valstybės deleguotoms funkcijoms finansuoti</t>
  </si>
  <si>
    <t xml:space="preserve"> Valstybės biudžeto lėšos, skirtos neformaliajam vaikų švietimui</t>
  </si>
  <si>
    <t>6.</t>
  </si>
  <si>
    <t xml:space="preserve">Apyvartos lėšos </t>
  </si>
  <si>
    <t>PAJAMOS SU APYVARTOS LĖŠOMIS IŠ VISO:</t>
  </si>
  <si>
    <t>Paskolos grąžinimas</t>
  </si>
  <si>
    <t>Asignavimai (be paskolos grąžinimo)</t>
  </si>
  <si>
    <t>SAVIVALDYBĖS BIUDŽETO FINANSINIAI RODIKLIAI  2014 -  2017 M.</t>
  </si>
  <si>
    <t>7.</t>
  </si>
  <si>
    <t>8. Prognuozuojamos valstybės biudžeto dotacijos (5 priedas)</t>
  </si>
  <si>
    <t>8.1. Investicijų projektams finansuoti</t>
  </si>
  <si>
    <t xml:space="preserve">9. Savivaldybės pajamų šaltiniai </t>
  </si>
  <si>
    <t>už gyvunų registravimą ir laikymą daugiabuąiuose namuose</t>
  </si>
  <si>
    <t>2018 m. pajamos (projektas)</t>
  </si>
  <si>
    <t>2019 m. pajamos (projektas)</t>
  </si>
  <si>
    <t>2020 m. pajamos (projektas)</t>
  </si>
  <si>
    <t>iš jų:</t>
  </si>
  <si>
    <t>Mokestis už teršalų išmetimą į aplinką</t>
  </si>
  <si>
    <t>Mokestis už medžiojamų gyvūnų išteklių naudojimą</t>
  </si>
  <si>
    <t>Želdinių atkuriamosios vertės kompensacija</t>
  </si>
  <si>
    <t>2016 m. vykdymas</t>
  </si>
  <si>
    <t>už lauko prekybą</t>
  </si>
  <si>
    <t>už išorinę reklamą</t>
  </si>
  <si>
    <t>už žemės iškasinęjimo darbus</t>
  </si>
  <si>
    <t>už leidimo organizuoti komercinius renginius</t>
  </si>
  <si>
    <t>Mokestis už valstybinius gamtos išteklius</t>
  </si>
  <si>
    <t>už žemė</t>
  </si>
  <si>
    <t>2017 m. vykdymas</t>
  </si>
  <si>
    <t>pajamos už patalpų nuomą</t>
  </si>
  <si>
    <t>pajamos už atsitiktinius paslaugas</t>
  </si>
  <si>
    <t>Įmokos už išlaikymą švietimo, socialinės apsaugos ir kitose įstaigose</t>
  </si>
  <si>
    <t>mašinos ir įrenginiai</t>
  </si>
  <si>
    <t>pajamos iš baudų ir konfiskacijos</t>
  </si>
  <si>
    <t>iš jų:  delspinigai už žemės nuomos mokesčio</t>
  </si>
  <si>
    <t>iš jų: kontrolierių išieškotos sumos</t>
  </si>
  <si>
    <t>vagystės grąžintos lėšos</t>
  </si>
  <si>
    <t>smulkiojp ir vidutinio verslo lėšas</t>
  </si>
  <si>
    <t>už komunalinių atliekų surinkimą iš atliekų tyrėtojų ir atliekų tvarkymą</t>
  </si>
  <si>
    <t>už savivaldybei nuosavybės teise priklausančių gyvanamųjų būstų pardavimą</t>
  </si>
  <si>
    <t>už pastatus</t>
  </si>
  <si>
    <t>2018 m. palyginti su 2017 m.</t>
  </si>
  <si>
    <t>Valstybės ir savivaldybių įstaigų darbuotojų darbo apmokėjimo įstatymui įgyvendinti</t>
  </si>
  <si>
    <t>minimaliajai mėnesinei algai padidinti</t>
  </si>
  <si>
    <t>2014 m. vykdymas</t>
  </si>
  <si>
    <t>2015 m. vykdymas</t>
  </si>
  <si>
    <t>SB</t>
  </si>
  <si>
    <t>78,45+4,37=82,82</t>
  </si>
  <si>
    <t>iš jų: finansiniams ištekliams papildyti</t>
  </si>
  <si>
    <t>1) gyventojų pajamų mokestis</t>
  </si>
  <si>
    <t>a) gyventojų pajamų mokestis iš VMI</t>
  </si>
  <si>
    <t>c) gyventojų pajamų mokestis savivaldybių pajamoms iš gyventojų pajamų mokesčio išlyginti</t>
  </si>
  <si>
    <t>3) žemės mokestis</t>
  </si>
  <si>
    <t>6) dividendai</t>
  </si>
  <si>
    <t>7) kitos pajamos</t>
  </si>
  <si>
    <t>4.1. Neformaliojo vaikų švietimo paslaugų plėtra</t>
  </si>
  <si>
    <t>5.7. Atliekų tvarkymo sistemos infrastruktūros plėtoti</t>
  </si>
  <si>
    <t>projektai:</t>
  </si>
  <si>
    <t>SD</t>
  </si>
  <si>
    <t>įstaigų veikla</t>
  </si>
  <si>
    <t>veikla:</t>
  </si>
  <si>
    <t>kita veikla</t>
  </si>
  <si>
    <t>BĮP</t>
  </si>
  <si>
    <t>kreditorinis</t>
  </si>
  <si>
    <t>SP</t>
  </si>
  <si>
    <t>132645,25 MTR</t>
  </si>
  <si>
    <t>Iš viso likutis</t>
  </si>
  <si>
    <t>ES</t>
  </si>
  <si>
    <t>Rekreacijos paslaugų centras</t>
  </si>
  <si>
    <t>Verdenės gimnazija</t>
  </si>
  <si>
    <t>Žiburio pagrindinė mokykla</t>
  </si>
  <si>
    <t>Gerosios vilties progimnazija</t>
  </si>
  <si>
    <t>Sporto centras</t>
  </si>
  <si>
    <t>Šeimos gerovės centras</t>
  </si>
  <si>
    <t>Draugystės progimnazija</t>
  </si>
  <si>
    <t>Perskirstymas  pagal 2017-11-23 tarybos spendimą Nr TS-221</t>
  </si>
  <si>
    <t>2018 m. pajamos pagal šaltinius</t>
  </si>
  <si>
    <t>savarankiškoms funkcijoms vykdyti</t>
  </si>
  <si>
    <t>biudžetinių įstaigų pajamos</t>
  </si>
  <si>
    <t>pajamos aplinkos apsaugos programoms</t>
  </si>
  <si>
    <t>pajamos iš ES lėšų</t>
  </si>
  <si>
    <t>pajamos iš valstybės biudžeto (VDF, MK, kitos spec. tikslinės dotacijos)</t>
  </si>
  <si>
    <t>2015 m. patvirtintos pajamos</t>
  </si>
  <si>
    <t>2016 m. patvirtintos pajamos</t>
  </si>
  <si>
    <t>2017 m. patvirtintos pajamos</t>
  </si>
  <si>
    <t>1. Prognozuojamos savivaldybės pajamos iš mokesčių ir kitos pajamos iš viso:</t>
  </si>
  <si>
    <t>b) gyventojų pajamų mokestis savivaldybių išlaidų struktūros skirtumams išlyginti</t>
  </si>
  <si>
    <t>pareiginės algos (atlyginimo) baziniam dydžiui padidinti</t>
  </si>
  <si>
    <t>2) nekilnojamojo turto mokestis</t>
  </si>
  <si>
    <t>4) nuomos mokestis už valstybinė žemė</t>
  </si>
  <si>
    <t>5) paveldeto turto  mokestis</t>
  </si>
  <si>
    <t>kitos neišvardintos pajamos</t>
  </si>
  <si>
    <t>2. Valstybės biudžeto bendrosios dotacijos kompensacija</t>
  </si>
  <si>
    <r>
      <t xml:space="preserve">5. Planuojama valstybės biudžeto speciali tikslinė dotacija </t>
    </r>
    <r>
      <rPr>
        <b/>
        <sz val="10"/>
        <color theme="1"/>
        <rFont val="Calibri"/>
        <family val="2"/>
        <charset val="186"/>
        <scheme val="minor"/>
      </rPr>
      <t>:</t>
    </r>
  </si>
  <si>
    <t>5.1. Valstybės perduotoms funkcijoms finansuoti</t>
  </si>
  <si>
    <t>5.3. Savivaldybių mokykloms (klasėms), skirtoms šalies (regiono) mokiniams, turintiems specialiųjų poreikių</t>
  </si>
  <si>
    <t>5.4. Savivaldybių išlaidoms, tarpinstitucinio bendradarbiavimo koordinatoriaus išlaikymui</t>
  </si>
  <si>
    <t>5.5. Finansų ministerijos skirta dotacija iš valstybės biudžeto lėšų,  projektų nuosavo indėlio daliai užtikrinti</t>
  </si>
  <si>
    <t>5.6. Savivaldybių išlaidoms, patirtoms pritaikant informacines sistemas euro įvedimui, kompensuoti</t>
  </si>
  <si>
    <r>
      <t>6. Prognuozuojamos valstybės biudžeto dotacijos (</t>
    </r>
    <r>
      <rPr>
        <b/>
        <strike/>
        <sz val="9"/>
        <color theme="1"/>
        <rFont val="Calibri"/>
        <family val="2"/>
        <charset val="186"/>
        <scheme val="minor"/>
      </rPr>
      <t xml:space="preserve">5 </t>
    </r>
    <r>
      <rPr>
        <b/>
        <sz val="9"/>
        <color theme="1"/>
        <rFont val="Calibri"/>
        <family val="2"/>
        <charset val="186"/>
        <scheme val="minor"/>
      </rPr>
      <t>6 priedas)</t>
    </r>
  </si>
  <si>
    <t>6.1.  Valstybės biudžeto lėšos, skirtos neformaliajam vaikų švietimui</t>
  </si>
  <si>
    <t xml:space="preserve"> 6.2. Savivaldybėms vietinės reikšmės keliams (gatvėms) tiesti, taisyti, prižiūrėti ir saugaus eismo sąlygoms užtikrinti</t>
  </si>
  <si>
    <t>6.3. Investicijų projektams finansuoti</t>
  </si>
  <si>
    <t xml:space="preserve">7. Savivaldybės pajamų šaltiniai </t>
  </si>
  <si>
    <t>7.1.</t>
  </si>
  <si>
    <t>7.2.</t>
  </si>
  <si>
    <t>7.3.</t>
  </si>
  <si>
    <t>7.4.</t>
  </si>
  <si>
    <t>Likutis 2017-12-31</t>
  </si>
  <si>
    <t>ĮP</t>
  </si>
  <si>
    <t>VISO</t>
  </si>
  <si>
    <t>nepaskirtytas</t>
  </si>
  <si>
    <t>t.t. 3078,54 ŽM</t>
  </si>
  <si>
    <t>42,77+4,02=46,79</t>
  </si>
  <si>
    <t>perduotos lėšos VĮ Registrų centrui dėl neatlygintino duomenų teikimo</t>
  </si>
  <si>
    <t>savivaldybės biudžetų prognazuojamų pajamų mežėjimui kompensuoti</t>
  </si>
  <si>
    <t>kultūros darbuotojų darbo užmokesčiui padidinti</t>
  </si>
  <si>
    <t>GPM dalis (procentais)</t>
  </si>
  <si>
    <t>baudos už administracinius nusižengimus</t>
  </si>
  <si>
    <t xml:space="preserve"> MTR</t>
  </si>
  <si>
    <t>2018 m  likutis</t>
  </si>
  <si>
    <t>2019 m.</t>
  </si>
  <si>
    <t>4.2. ES lėšos projektai</t>
  </si>
  <si>
    <t>MTR</t>
  </si>
  <si>
    <t>2015 m. paskola</t>
  </si>
  <si>
    <t>VIP paskola</t>
  </si>
  <si>
    <t>PPĮ</t>
  </si>
  <si>
    <t>iš 2019 pajamų</t>
  </si>
  <si>
    <t>iš likučio</t>
  </si>
  <si>
    <t>likutis MTR</t>
  </si>
  <si>
    <t>likutis žemės</t>
  </si>
  <si>
    <t>be ŽM ir</t>
  </si>
  <si>
    <r>
      <t>5.2.</t>
    </r>
    <r>
      <rPr>
        <strike/>
        <sz val="9"/>
        <color theme="1"/>
        <rFont val="Calibri"/>
        <family val="2"/>
        <charset val="186"/>
        <scheme val="minor"/>
      </rPr>
      <t xml:space="preserve">  </t>
    </r>
    <r>
      <rPr>
        <sz val="9"/>
        <color theme="1"/>
        <rFont val="Calibri"/>
        <family val="2"/>
        <charset val="186"/>
        <scheme val="minor"/>
      </rPr>
      <t>Ugdymo reimėms finansuoti (Mokinio krepšelio lėšoms)</t>
    </r>
  </si>
  <si>
    <t>2018 m. patvirtintos pajamos</t>
  </si>
  <si>
    <t>Finansavimo šaltinis</t>
  </si>
  <si>
    <t>Pajamos</t>
  </si>
  <si>
    <t>Asignavimai</t>
  </si>
  <si>
    <t>Savivaldybės biudžeto pajamos savarankiškoms funkcijoms vykdyti</t>
  </si>
  <si>
    <t>Vietinė rinkliava už komunalinių atliekų surinkimą iš atliekų turėtojų ir atliekų tvarkymą</t>
  </si>
  <si>
    <t>Biudžetinių įstaigų pajamos už paslaugas</t>
  </si>
  <si>
    <t>Aplinkos apsaugos specialioji programa</t>
  </si>
  <si>
    <t>Europos Sąjungos finansinės paramos lėšos</t>
  </si>
  <si>
    <t>Mokinio reikmėms/ Lėšos ugdymo reikmėms finansuoti</t>
  </si>
  <si>
    <t>Valstybės biudžeto specialios tikslinės dotacijos savivaldybių biudžetams</t>
  </si>
  <si>
    <t>Savivaldybių mokykloms (klasėms), skirtoms šalies (regiono) mokiniams, turintiems specialiųjų ugdymosi poreikių, išlaikyti</t>
  </si>
  <si>
    <t xml:space="preserve">Valstybės biudžeto speciali tikslinė dotacija pagal 2014–2020 metų Europos Sąjungos fondų investicijų veiksmų programą   įgyvendinamų projektų nuosavam indeliui užtikrinti     </t>
  </si>
  <si>
    <t>Kelių priežiūros ir plėtros programa</t>
  </si>
  <si>
    <t>Iš viso</t>
  </si>
  <si>
    <t>projektai</t>
  </si>
  <si>
    <t>kreditoriniam įsiskolinimui padengti</t>
  </si>
  <si>
    <t>įstaigos veikla</t>
  </si>
  <si>
    <t>tame tarpe piniginės socialinei paramai skaičuoti ir mokėti</t>
  </si>
  <si>
    <t>tame tarpe materialiojo turto realizavimo pajamos</t>
  </si>
  <si>
    <t>tame tarpe žemės realizavimo pajamos</t>
  </si>
  <si>
    <t>tame tarpe iš skolintų lėšų</t>
  </si>
  <si>
    <t>tame tarpe projektams finansuoti</t>
  </si>
  <si>
    <t>Kitos dotacijos ir lėšos (NVŠ įstaigos etatiniam įvedimui)</t>
  </si>
  <si>
    <t>Skirtūmas       (-) trūksta lėšų</t>
  </si>
  <si>
    <t>trukūmo padengimo šaltinis</t>
  </si>
  <si>
    <t>2018 m. likutis</t>
  </si>
  <si>
    <t>skolintos lėšos</t>
  </si>
  <si>
    <t>2019 m. tarp šaltinius</t>
  </si>
  <si>
    <t xml:space="preserve">Kitos </t>
  </si>
  <si>
    <t>2020 m. pajamos  (projektas)</t>
  </si>
  <si>
    <t>2019/2018 metų sumos kintamajai gyventojų pajamų mokesčio daliai (procentais) apskaičuoti</t>
  </si>
  <si>
    <t>e) verslo plėtros sąlygoms gerinti</t>
  </si>
  <si>
    <t>5.8. Irklavimo bazės Visagine,Visagino ežero pakrantėje, įrengimas</t>
  </si>
  <si>
    <t>dėl teisės aktų, didinančių darbo užmokestį</t>
  </si>
  <si>
    <t xml:space="preserve"> </t>
  </si>
  <si>
    <t>Lėšas LR piniginės socialinės paramos nepasiturintiems gyventojams įstatymui įgyvendinti</t>
  </si>
  <si>
    <t>savarankiškoms funkcijoms vykdyti iš turto realizavimo pajamų</t>
  </si>
  <si>
    <t>42,84+3,1+0,27=46,21</t>
  </si>
  <si>
    <t>2019 likutis</t>
  </si>
  <si>
    <t>2019 likutis iš turto realizavimo</t>
  </si>
  <si>
    <t>2020 m.</t>
  </si>
  <si>
    <t>Likutis 2019-12-31</t>
  </si>
  <si>
    <t>2019 m. patvirtintos pajamos</t>
  </si>
  <si>
    <t>5.9. Visagino "Verdenės" sporto aikštynų atnaujinimo darbams finansuoti</t>
  </si>
  <si>
    <t>ŽM</t>
  </si>
  <si>
    <t>d) gyventojų pajamų mokesčio kintamoji dalis (2018 m. 4,37 proc, 2019 m. 4,10 proc..):</t>
  </si>
  <si>
    <t>lėšos, skirtos atsiskaityti už standartines saugiojo tinklo paslaugas; lėšos, skirtos konkursams į įstaigų vadovų ir karjeros valstybės tarnautojų bei atrankas į pakaitinių valstybės tarnautojų pareigas centralizuoti; žemės sklypų formavimo ir pertvarkymo projektų organizavimo ir tvirtinimo darbų funkcijoms vykdyti</t>
  </si>
  <si>
    <t xml:space="preserve"> valstybės tarnautojams (15 proc.-2017 m., 20 proc. nuo 2018 m.) apskaičūoto grąžintino neišmokėto darbo užmokesčio dalis</t>
  </si>
  <si>
    <t>SAVIVALDYBĖS BIUDŽETO FINANSINIAI RODIKLIAI  2017 -  2021 M.</t>
  </si>
  <si>
    <t>2021 m. projektas</t>
  </si>
  <si>
    <t>iš jų:  valstybės rikliavos:</t>
  </si>
  <si>
    <t>b) licencijas verstis prekyba alkoholoniais gėrimais</t>
  </si>
  <si>
    <t>a )licencijas verstis prekyba alkoholoniais gėrimais</t>
  </si>
  <si>
    <t>c) keleivų vežimas užatlygį, keleivių vežimas taksi,leidimas vežti keleiviaus reguliaraus vietinio susiekimo kelių transporto</t>
  </si>
  <si>
    <t>8)  Pajamos iš baudų, konfiskuoto turto realizavimos pajamos</t>
  </si>
  <si>
    <t>e) už statybą leidžiančių dokumentų išdavimą</t>
  </si>
  <si>
    <t>d) civilinės būklės aktų įrašų registravimas</t>
  </si>
  <si>
    <t>2021 m. palyginti su 2020 m.</t>
  </si>
  <si>
    <t>mokytojų, dirbančių pagal neformaliojo vaikų švietimo programas, darbui apmok4ti</t>
  </si>
  <si>
    <t>transporto lengvatų įstatymo Nr. VIII-1605 5 straipsnio pakeitimo įstatymo projekto pakeitimas įgyvendinti</t>
  </si>
  <si>
    <t>42,86+4,07 =46,93</t>
  </si>
  <si>
    <t>2021 m. duomenys pateiktos FM</t>
  </si>
  <si>
    <t>78,45+4,37=  82,82</t>
  </si>
  <si>
    <t>42,78+4,10=  46,88</t>
  </si>
  <si>
    <t>Savivaldybės pajamų šaltiniai savarankiškoms funkcijoms</t>
  </si>
  <si>
    <t>dėl teisės aktų, didinančių darbo užmokestį nuo 2021-01-01 ir transporto lengvatų įstatymo Nr. VIII-1605 5 straipsnio pakeitimo įstatymo projekto pakeitimas įgyvendinti, valstybės tarnautojams  apskaičūoto grąžintino neišmokėto darbo užmokesčio dalis neskirimo</t>
  </si>
  <si>
    <t>Gyventojų skaičius</t>
  </si>
  <si>
    <t>Gyventojų pajamų mokestis 1-am gyventojui (Eur/1 gyv)</t>
  </si>
  <si>
    <r>
      <t xml:space="preserve">Gyventojų pajamų mokestis savivaldybėje tūkst. eurų, </t>
    </r>
    <r>
      <rPr>
        <b/>
        <sz val="10"/>
        <color theme="1"/>
        <rFont val="Calibri"/>
        <family val="2"/>
        <charset val="186"/>
        <scheme val="minor"/>
      </rPr>
      <t>2016 m.  -8050 tūkst. eurų</t>
    </r>
  </si>
  <si>
    <t>Apyvartos lėšos</t>
  </si>
  <si>
    <t>Savivaldybės pajamų šaltiniai savarankiškoms funkcijoms su apyvartinėms  lėšomis IŠ VISO:</t>
  </si>
  <si>
    <t>Jejgu bus skirta pajamų mažėjimui 1638000</t>
  </si>
  <si>
    <t>43,08+5,11 =48,19</t>
  </si>
  <si>
    <t>dėl valstybės tarnautojams (15 proc.-2017 m., 20 proc. nuo 2018 m.) apskaičūoto grąžintino neišmokėto darbo užmokesčio dalis nesk 2021 m.</t>
  </si>
  <si>
    <t>2020 m. pajamų vykdymas</t>
  </si>
  <si>
    <t>2020 m. patvirtintos pajamos</t>
  </si>
  <si>
    <t>2022 m. palyginti su 2021 m.</t>
  </si>
  <si>
    <t>2022 m.pajamos  teikiamos Finansų ministerijai</t>
  </si>
  <si>
    <t>7.3</t>
  </si>
  <si>
    <t>7.4</t>
  </si>
  <si>
    <t>3) palūkanos už indėlius, depozitus ir sąskaitų likučius</t>
  </si>
  <si>
    <t>7)  valstybės rikliava:</t>
  </si>
  <si>
    <t>Vietinė rinkliava</t>
  </si>
  <si>
    <t>1.</t>
  </si>
  <si>
    <t>Prognuozuojamos pajamos</t>
  </si>
  <si>
    <t>8) pajamos iš baudų, konfiskuoto turto ir kitų netesybų</t>
  </si>
  <si>
    <t>9) kitos neišvardytos pajamos</t>
  </si>
  <si>
    <t>7.2</t>
  </si>
  <si>
    <t>2020 vykdymas</t>
  </si>
  <si>
    <t>2022 m.</t>
  </si>
  <si>
    <t>2023 m.</t>
  </si>
  <si>
    <t>2024 m.</t>
  </si>
  <si>
    <t xml:space="preserve">2021 m. planas </t>
  </si>
  <si>
    <t xml:space="preserve">2021-08-01 vykdymas </t>
  </si>
  <si>
    <t>2022-2024 metų duomenys teikiamos Finansų ministerijai apie parognazuojamas pajamas į savivaldybės biudžetą ir kitus duomenis</t>
  </si>
  <si>
    <t>Komentaras</t>
  </si>
  <si>
    <t>b) licencijas verstis prekyba tabako gaminiams</t>
  </si>
  <si>
    <t>už lauko prekybą ar paslaugų teikimas Visagino savivaldybės tarybos nustatytose viešosiose vietose</t>
  </si>
  <si>
    <t xml:space="preserve">a) grąžintos praėjusių metų biudžeto lėšos </t>
  </si>
  <si>
    <t>c) kitos neišvardintos pajamos iš VMI</t>
  </si>
  <si>
    <t>b) Valstybės kontrolės, savivaldybės kontrolieriaus pasiūlumu pervestos lėšos</t>
  </si>
  <si>
    <t>a )pajamos iš baudų už administracinius nusižengimus, VMI</t>
  </si>
  <si>
    <t>b )mokestinės baudos savivaldybės biudžetui, VMI</t>
  </si>
  <si>
    <t>c )delspinigai už pradelstus remonto darbus</t>
  </si>
  <si>
    <t>d)delspinigai žemės nuomos mokesčio</t>
  </si>
  <si>
    <t>e) mokestinės baudos savivaldybės biudžetui</t>
  </si>
  <si>
    <t>z) delspinigai savivaldybės biudžetui, VMI</t>
  </si>
  <si>
    <t xml:space="preserve">z) delspinigai savivaldybės aplinkos apsaugos fondui, VMI </t>
  </si>
  <si>
    <t>b )palūkanos už indėlius, depozitus ir sąskaitų likučius</t>
  </si>
  <si>
    <t>a )palūkanos už paskola savivaldybės biudžetui, VMI</t>
  </si>
  <si>
    <t>IŠ VISO:</t>
  </si>
  <si>
    <t>Vietinio ukio skyriaus raštas Nr. 9-737 (paskaičiavimai nepateikti)</t>
  </si>
  <si>
    <t>pagal BĮ payeiktos duomenys( nepateikį paskaičiavimus Socialinių paslaugų centras, Gerosios vilties mokykla, Rekreacijos paslugų centras, Švietimo pagalbos tarnyba)</t>
  </si>
  <si>
    <t>Architektūros ir teritorijų planavimo skyriaus rašta Nr. 9-644</t>
  </si>
  <si>
    <t>nesuplanuota</t>
  </si>
  <si>
    <t>e) už civilinės būklės aktų registravimo paslaugos</t>
  </si>
  <si>
    <t xml:space="preserve">65000 pagal Vietinio ukio skyriaus raštą Nr. 9-737 (paskaičiavimai nepateikti),  pakoreguotas Finansų sk. pagal deklaracijas </t>
  </si>
  <si>
    <t>Raštas ir paskaičiavimai nepateikti, duomenys pagal el.p. pateiktą neoficialį informaciją</t>
  </si>
  <si>
    <t>Pagal Finansų skyriaus paskačiavimus</t>
  </si>
  <si>
    <t>informaciją nepateikta</t>
  </si>
  <si>
    <t>Viešosios tvarkos ir rinkliavos skyriaus raštas Nr. 9-728 (paskaičiavimai nepateikti)</t>
  </si>
  <si>
    <t>Valstybės ir savivaldybių įstaigų darbuotojų darbo apmokėjimo įstatymui įgyvendinti /  minimaliems koeficientams padidinti</t>
  </si>
  <si>
    <t>42,77+5,35 =48,12</t>
  </si>
  <si>
    <t xml:space="preserve">2. Savivaldybės pajamų šaltiniai </t>
  </si>
  <si>
    <t>1) Prognozuojamos savivaldybės pajamos (gyventojų pajamų mokestis)</t>
  </si>
  <si>
    <t>1. Savivaldybės pajamos iš mokesčių ir kitos pajamos iš viso:</t>
  </si>
  <si>
    <t>2) GPM, mokamas už pajamas, gautas iš veiklos, kuria verčiamasi turint verslo liudijimą</t>
  </si>
  <si>
    <t>3) nekilnojamojo turto mokestis</t>
  </si>
  <si>
    <t>2.1.</t>
  </si>
  <si>
    <t>2.2.</t>
  </si>
  <si>
    <t>2.3</t>
  </si>
  <si>
    <t>Aplinkos apsaugos rėmimo specialiosios programos lėšos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</si>
  <si>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</si>
  <si>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</si>
  <si>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</si>
  <si>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</si>
  <si>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</si>
  <si>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</si>
  <si>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</si>
  <si>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</si>
  <si>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</si>
  <si>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</si>
  <si>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</si>
  <si>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</si>
  <si>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</si>
  <si>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 xml:space="preserve"> Valstybinėms (perduotoms savivaldybėms) funkcijoms atlikti</t>
  </si>
  <si>
    <t>Savivaldybių mokykloms (klasėms), skirtoms šalies (regiono) mokiniams, turintiems specialiųjų poreikių</t>
  </si>
  <si>
    <t>Finansų ministerijos skirta dotacija iš valstybės biudžeto lėšų,  projektų nuosavo indėlio daliai užtikrinti</t>
  </si>
  <si>
    <t xml:space="preserve"> Savivaldybių išlaidoms, patirtoms pritaikant informacines sistemas euro įvedimui, kompensuoti</t>
  </si>
  <si>
    <t xml:space="preserve"> Atliekų tvarkymo sistemos infrastruktūros plėtoti</t>
  </si>
  <si>
    <t>Irklavimo bazės Visagine,Visagino ežero pakrantėje, įrengimas</t>
  </si>
  <si>
    <t>Visagino "Verdenės" sporto aikštynų atnaujinimo darbams finansuoti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</si>
  <si>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</si>
  <si>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</si>
  <si>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</si>
  <si>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</si>
  <si>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</si>
  <si>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</si>
  <si>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</si>
  <si>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</si>
  <si>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</si>
  <si>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</si>
  <si>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</si>
  <si>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</si>
  <si>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Valstybės biudžeto lėšos, skirtos iš Lietuvos Respublikos finansų ministerijos  pagal 2014–2020 metų Europos Sąjungos fondų investicijų veiksmų programą  įgyvendinamų projektų nuosavam indėliui užtikrinti</t>
  </si>
  <si>
    <t>Valstybės biudžeto lėšos, skirtos iš Lietuvos Respublikos švietimo, mokslo ir sporto ministerijos  skaitmenino ugdymo plėtrai</t>
  </si>
  <si>
    <t xml:space="preserve"> Valstybės biudžeto lėšos, skirtos iš Lietuvos Respublikos švietimo, mokslo ir sporto ministerijos  neformaliojo vaikų švietimo programoms finansuoti</t>
  </si>
  <si>
    <t>Valstybės biudžeto lėšos, skirtos iš Lietuvos Respublikos kultūros ministerijos  savivaldybių viešosioms bibliotekoms dokumentams įsigyti</t>
  </si>
  <si>
    <t>Valstybės biudžeto lėšos, skirtos iš Lietuvos Respublikos kultūros ministerijos  savivaldybių kultūros darbuotojų darbo užmokesčiui padidinti</t>
  </si>
  <si>
    <t>Valstybės biudžeto lėšos, skirtos iš Lietuvos Respublikos socialinės apsaugos ir darbo ministerijos  savivaldybių akredituotai vaikų dienos socialinei priežiūrai organizuoti, teikti ir administruoti</t>
  </si>
  <si>
    <t>Valstybės biudžeto lėšos, skirtos iš Lietuvos Respublikos socialinės apsaugos ir darbo ministerijos  socialinių paslaugų šakos kolektyvinės sutarties įsipareigojimams įgyvendinti</t>
  </si>
  <si>
    <t xml:space="preserve">Valstybės biudžeto lėšos, skirtos iš Lietuvos Respublikos energetikos  ministerijos priemonei „Saulės jėgainių Visagine įrengimui“ </t>
  </si>
  <si>
    <t>Pažangos priemonėms finansuoti</t>
  </si>
  <si>
    <t>Savivaldybių išlaidoms, tarpinstitucinio bendradarbiavimo koordinatoriaus išlaikymui</t>
  </si>
  <si>
    <t>Savivaldybėms vietinės reikšmės keliams (gatvėms) tiesti, taisyti, prižiūrėti ir saugaus eismo sąlygoms užtikrinti</t>
  </si>
  <si>
    <t>2021 m. patikslintas dėl GPM projektas</t>
  </si>
  <si>
    <t>Valstybės biudžeto lėšos, skirtos iš Lietuvos Respublikos socialinės apsaugos ir darbo ministerijos  biudžetinių įstaigų vadovaujančių darbuotojų minimaliems pareiginės algos koeficientams padidinti</t>
  </si>
  <si>
    <t xml:space="preserve">  Savivaldybės pajamų šaltiniai savarankiškoms funkcijoms (1+2)</t>
  </si>
  <si>
    <t xml:space="preserve">Valstybės biudžeto speciali tikslinė dotacija </t>
  </si>
  <si>
    <t>Valstybės biudžeto dotacijos ir kitos lėšos</t>
  </si>
  <si>
    <t xml:space="preserve"> Europos Sąjungos paramos lėšos</t>
  </si>
  <si>
    <t>5.13</t>
  </si>
  <si>
    <t>5.14</t>
  </si>
  <si>
    <t xml:space="preserve"> Neformaliojo vaikų švietimo paslaugų plėtra</t>
  </si>
  <si>
    <t>ES lėšos projektai</t>
  </si>
  <si>
    <t>6.1</t>
  </si>
  <si>
    <t>6.2</t>
  </si>
  <si>
    <t>ES grąžintos lėšos</t>
  </si>
  <si>
    <t>Žemės realizavimo pajamos</t>
  </si>
  <si>
    <t>Biudžetinių įstaigų pajamos</t>
  </si>
  <si>
    <t>Aplinkos apsaugos lėšos</t>
  </si>
  <si>
    <t>Savivaldybės biudžeto lėšos</t>
  </si>
  <si>
    <t>Valstybės biudžeto lėšos (savivaldybės lėšos)</t>
  </si>
  <si>
    <t>Iš viso:</t>
  </si>
  <si>
    <t>ES lėšos</t>
  </si>
  <si>
    <t>Įstaigos veikla</t>
  </si>
  <si>
    <t>Materialiojo turto realizavimo pajamos (būtai)</t>
  </si>
  <si>
    <t>žemės realizavimas</t>
  </si>
  <si>
    <t>socialinio būsto plėtra</t>
  </si>
  <si>
    <t>kreditorinis įsiskolinimas</t>
  </si>
  <si>
    <t>Skirtūmas</t>
  </si>
  <si>
    <t>liko nepaskirstyta</t>
  </si>
  <si>
    <t>Spec. tikslinė dotacija ir kitos dotacijos</t>
  </si>
  <si>
    <t>Aplinkos apsaugos programa</t>
  </si>
  <si>
    <t xml:space="preserve">ES lėšos </t>
  </si>
  <si>
    <t>tūri likti</t>
  </si>
  <si>
    <t>remonto darbai</t>
  </si>
  <si>
    <t>5.15</t>
  </si>
  <si>
    <t>Valstybės biudžeto lėšos, skirtos iš Lietuvos Respublikos socialinės apsaugos ir darbo ministerijos  asmeninei pagalbai teikti ir administruoti</t>
  </si>
  <si>
    <t xml:space="preserve">2021 m. </t>
  </si>
  <si>
    <t>Ugdymo reikmėms finansuoti (Mokinio krepšelio lėšoms)</t>
  </si>
  <si>
    <t>SAVIVALDYBĖS BIUDŽETO FINANSINIAI RODIKLIAI  2021 -  2022 M.</t>
  </si>
  <si>
    <t>Valstybės biudžeto lėšos, skirtos iš Lietuvos Respublikos švietimo, mokslo ir sporto ministerijos  konsultacijoms mokiniams, patirtiems mokymosi sunkumų, finansuoti</t>
  </si>
  <si>
    <t>5) nuomos mokestis už valstybinę žemę</t>
  </si>
  <si>
    <t>6) paveldimo turto  mokestis</t>
  </si>
  <si>
    <t xml:space="preserve"> Valstybės biudžeto lėšos, skirtos iš Lietuvos Respublikos švietimo, mokslo ir sporto ministerijos pedagoginių darbuotojų, išlaikomų iš savivaldybių biudžetų lėšų (išskyrus valstybės biudžeto specialias tikslinės dotacijas) darbo užmokesčiui  padidinti</t>
  </si>
  <si>
    <t xml:space="preserve">Valstybės biudžeto lėšos, skirtos iš Lietuvos Respublikos socialinės apsaugos ir darbo ministerijos  Lietuvos Respublikos piniginės socialinės paramos nepasiturintiems gyventojams įstatymo įgyvendinimui užtikrinti dėl padidėjusių išlaidų būsto šildymo išlaidų kompensacijoms </t>
  </si>
  <si>
    <t>Valstybės biudžeto lėšos, skirtos iš Lietuvos Respublikos aplinkos ministerijos projektui „Vandens transporto priemonių nuleidimo vietų įrengimas" (2021 m. - Visagino ežero, 2022 m. - Drūkšių ežero pakrantėje)</t>
  </si>
  <si>
    <t>pagal finansavimo šaltinius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</si>
</sst>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"/>
    <numFmt numFmtId="166" formatCode="#,##0.000"/>
  </numFmts>
  <fonts count="3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0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strike/>
      <sz val="9"/>
      <color theme="1"/>
      <name val="Calibri"/>
      <family val="2"/>
      <charset val="186"/>
      <scheme val="minor"/>
    </font>
    <font>
      <strike/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9"/>
      <color theme="1"/>
      <name val="Times New Roman"/>
      <family val="1"/>
      <charset val="186"/>
    </font>
    <font>
      <b/>
      <sz val="9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i/>
      <sz val="9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5" borderId="1" xfId="0" applyFill="1" applyBorder="1"/>
    <xf numFmtId="0" fontId="1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4" fontId="3" fillId="6" borderId="1" xfId="0" applyNumberFormat="1" applyFont="1" applyFill="1" applyBorder="1"/>
    <xf numFmtId="164" fontId="4" fillId="6" borderId="1" xfId="0" applyNumberFormat="1" applyFont="1" applyFill="1" applyBorder="1"/>
    <xf numFmtId="0" fontId="0" fillId="6" borderId="1" xfId="0" applyFill="1" applyBorder="1"/>
    <xf numFmtId="0" fontId="0" fillId="7" borderId="1" xfId="0" applyFill="1" applyBorder="1"/>
    <xf numFmtId="0" fontId="3" fillId="6" borderId="1" xfId="0" applyFont="1" applyFill="1" applyBorder="1"/>
    <xf numFmtId="0" fontId="3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6" borderId="1" xfId="0" applyFont="1" applyFill="1" applyBorder="1"/>
    <xf numFmtId="164" fontId="5" fillId="6" borderId="1" xfId="0" applyNumberFormat="1" applyFont="1" applyFill="1" applyBorder="1"/>
    <xf numFmtId="164" fontId="6" fillId="6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1" fillId="9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2" fillId="6" borderId="1" xfId="0" applyNumberFormat="1" applyFont="1" applyFill="1" applyBorder="1"/>
    <xf numFmtId="164" fontId="9" fillId="6" borderId="1" xfId="0" applyNumberFormat="1" applyFont="1" applyFill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164" fontId="10" fillId="6" borderId="1" xfId="0" applyNumberFormat="1" applyFont="1" applyFill="1" applyBorder="1"/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 applyAlignment="1">
      <alignment horizontal="right"/>
    </xf>
    <xf numFmtId="0" fontId="1" fillId="8" borderId="1" xfId="0" applyFont="1" applyFill="1" applyBorder="1"/>
    <xf numFmtId="164" fontId="1" fillId="8" borderId="1" xfId="0" applyNumberFormat="1" applyFont="1" applyFill="1" applyBorder="1" applyAlignment="1">
      <alignment horizontal="right"/>
    </xf>
    <xf numFmtId="0" fontId="1" fillId="9" borderId="1" xfId="0" applyFont="1" applyFill="1" applyBorder="1"/>
    <xf numFmtId="1" fontId="1" fillId="9" borderId="1" xfId="0" applyNumberFormat="1" applyFont="1" applyFill="1" applyBorder="1"/>
    <xf numFmtId="164" fontId="1" fillId="9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1" fontId="1" fillId="7" borderId="1" xfId="0" applyNumberFormat="1" applyFont="1" applyFill="1" applyBorder="1"/>
    <xf numFmtId="164" fontId="1" fillId="7" borderId="1" xfId="0" applyNumberFormat="1" applyFont="1" applyFill="1" applyBorder="1" applyAlignment="1">
      <alignment horizontal="right"/>
    </xf>
    <xf numFmtId="14" fontId="0" fillId="0" borderId="0" xfId="0" applyNumberFormat="1"/>
    <xf numFmtId="0" fontId="2" fillId="0" borderId="5" xfId="0" applyFont="1" applyBorder="1"/>
    <xf numFmtId="0" fontId="2" fillId="0" borderId="6" xfId="0" applyFont="1" applyBorder="1"/>
    <xf numFmtId="0" fontId="2" fillId="10" borderId="1" xfId="0" applyFont="1" applyFill="1" applyBorder="1"/>
    <xf numFmtId="164" fontId="2" fillId="10" borderId="1" xfId="0" applyNumberFormat="1" applyFont="1" applyFill="1" applyBorder="1"/>
    <xf numFmtId="0" fontId="10" fillId="11" borderId="1" xfId="0" applyFont="1" applyFill="1" applyBorder="1" applyAlignment="1">
      <alignment horizontal="left"/>
    </xf>
    <xf numFmtId="0" fontId="10" fillId="11" borderId="1" xfId="0" applyFont="1" applyFill="1" applyBorder="1"/>
    <xf numFmtId="164" fontId="10" fillId="11" borderId="1" xfId="0" applyNumberFormat="1" applyFont="1" applyFill="1" applyBorder="1"/>
    <xf numFmtId="0" fontId="11" fillId="0" borderId="1" xfId="0" applyFont="1" applyBorder="1"/>
    <xf numFmtId="0" fontId="12" fillId="2" borderId="1" xfId="0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2" fillId="10" borderId="1" xfId="0" applyFont="1" applyFill="1" applyBorder="1" applyAlignment="1">
      <alignment horizontal="left" wrapText="1"/>
    </xf>
    <xf numFmtId="0" fontId="11" fillId="10" borderId="1" xfId="0" applyFont="1" applyFill="1" applyBorder="1"/>
    <xf numFmtId="0" fontId="2" fillId="11" borderId="1" xfId="0" applyFont="1" applyFill="1" applyBorder="1" applyAlignment="1">
      <alignment horizontal="left" wrapText="1"/>
    </xf>
    <xf numFmtId="0" fontId="2" fillId="11" borderId="1" xfId="0" applyFont="1" applyFill="1" applyBorder="1"/>
    <xf numFmtId="164" fontId="2" fillId="11" borderId="1" xfId="0" applyNumberFormat="1" applyFont="1" applyFill="1" applyBorder="1"/>
    <xf numFmtId="0" fontId="11" fillId="11" borderId="1" xfId="0" applyFont="1" applyFill="1" applyBorder="1"/>
    <xf numFmtId="0" fontId="10" fillId="11" borderId="1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horizontal="left"/>
    </xf>
    <xf numFmtId="164" fontId="14" fillId="6" borderId="1" xfId="0" applyNumberFormat="1" applyFont="1" applyFill="1" applyBorder="1"/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164" fontId="3" fillId="10" borderId="1" xfId="0" applyNumberFormat="1" applyFont="1" applyFill="1" applyBorder="1"/>
    <xf numFmtId="0" fontId="5" fillId="6" borderId="1" xfId="0" applyFont="1" applyFill="1" applyBorder="1"/>
    <xf numFmtId="164" fontId="1" fillId="12" borderId="1" xfId="0" applyNumberFormat="1" applyFont="1" applyFill="1" applyBorder="1" applyAlignment="1">
      <alignment horizontal="right"/>
    </xf>
    <xf numFmtId="0" fontId="1" fillId="12" borderId="1" xfId="0" applyFont="1" applyFill="1" applyBorder="1"/>
    <xf numFmtId="0" fontId="13" fillId="0" borderId="0" xfId="0" applyFont="1"/>
    <xf numFmtId="0" fontId="1" fillId="2" borderId="7" xfId="0" applyFont="1" applyFill="1" applyBorder="1"/>
    <xf numFmtId="0" fontId="0" fillId="6" borderId="8" xfId="0" applyFill="1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" fontId="0" fillId="0" borderId="0" xfId="0" applyNumberFormat="1"/>
    <xf numFmtId="0" fontId="5" fillId="13" borderId="1" xfId="0" applyFont="1" applyFill="1" applyBorder="1"/>
    <xf numFmtId="164" fontId="5" fillId="13" borderId="1" xfId="0" applyNumberFormat="1" applyFont="1" applyFill="1" applyBorder="1"/>
    <xf numFmtId="0" fontId="3" fillId="13" borderId="1" xfId="0" applyFont="1" applyFill="1" applyBorder="1"/>
    <xf numFmtId="0" fontId="3" fillId="13" borderId="0" xfId="0" applyFont="1" applyFill="1"/>
    <xf numFmtId="0" fontId="0" fillId="13" borderId="0" xfId="0" applyFill="1"/>
    <xf numFmtId="0" fontId="3" fillId="2" borderId="1" xfId="0" applyFont="1" applyFill="1" applyBorder="1"/>
    <xf numFmtId="0" fontId="4" fillId="6" borderId="1" xfId="0" applyFont="1" applyFill="1" applyBorder="1"/>
    <xf numFmtId="0" fontId="5" fillId="2" borderId="1" xfId="0" applyFont="1" applyFill="1" applyBorder="1"/>
    <xf numFmtId="0" fontId="0" fillId="6" borderId="0" xfId="0" applyFill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/>
    <xf numFmtId="0" fontId="0" fillId="2" borderId="0" xfId="0" applyFill="1"/>
    <xf numFmtId="0" fontId="5" fillId="6" borderId="5" xfId="0" applyFont="1" applyFill="1" applyBorder="1"/>
    <xf numFmtId="0" fontId="2" fillId="6" borderId="6" xfId="0" applyFont="1" applyFill="1" applyBorder="1"/>
    <xf numFmtId="0" fontId="1" fillId="14" borderId="1" xfId="0" applyFont="1" applyFill="1" applyBorder="1"/>
    <xf numFmtId="0" fontId="1" fillId="0" borderId="0" xfId="0" applyFont="1" applyAlignment="1">
      <alignment horizontal="right"/>
    </xf>
    <xf numFmtId="0" fontId="1" fillId="4" borderId="1" xfId="0" applyFont="1" applyFill="1" applyBorder="1"/>
    <xf numFmtId="0" fontId="4" fillId="0" borderId="0" xfId="0" applyFont="1"/>
    <xf numFmtId="0" fontId="0" fillId="0" borderId="1" xfId="0" applyBorder="1" applyAlignment="1">
      <alignment horizontal="right"/>
    </xf>
    <xf numFmtId="0" fontId="0" fillId="5" borderId="0" xfId="0" applyFill="1"/>
    <xf numFmtId="0" fontId="13" fillId="2" borderId="1" xfId="0" applyFont="1" applyFill="1" applyBorder="1"/>
    <xf numFmtId="0" fontId="8" fillId="11" borderId="0" xfId="0" applyFont="1" applyFill="1"/>
    <xf numFmtId="0" fontId="0" fillId="0" borderId="1" xfId="0" applyBorder="1" applyAlignment="1">
      <alignment horizontal="center" wrapText="1"/>
    </xf>
    <xf numFmtId="0" fontId="18" fillId="0" borderId="0" xfId="0" applyFont="1"/>
    <xf numFmtId="0" fontId="17" fillId="0" borderId="1" xfId="0" applyFont="1" applyBorder="1" applyAlignment="1">
      <alignment vertical="center" wrapText="1"/>
    </xf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/>
    <xf numFmtId="0" fontId="18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12" xfId="0" applyBorder="1"/>
    <xf numFmtId="0" fontId="24" fillId="0" borderId="1" xfId="0" applyFont="1" applyBorder="1"/>
    <xf numFmtId="0" fontId="2" fillId="11" borderId="6" xfId="0" applyFont="1" applyFill="1" applyBorder="1" applyAlignment="1">
      <alignment vertical="center" wrapText="1"/>
    </xf>
    <xf numFmtId="0" fontId="10" fillId="11" borderId="3" xfId="0" applyFont="1" applyFill="1" applyBorder="1" applyAlignment="1"/>
    <xf numFmtId="0" fontId="10" fillId="11" borderId="1" xfId="0" applyFont="1" applyFill="1" applyBorder="1" applyAlignment="1"/>
    <xf numFmtId="164" fontId="5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5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6" fillId="0" borderId="1" xfId="0" applyFont="1" applyBorder="1"/>
    <xf numFmtId="0" fontId="5" fillId="4" borderId="1" xfId="0" applyFont="1" applyFill="1" applyBorder="1"/>
    <xf numFmtId="0" fontId="8" fillId="2" borderId="1" xfId="0" applyFont="1" applyFill="1" applyBorder="1"/>
    <xf numFmtId="0" fontId="27" fillId="0" borderId="0" xfId="0" applyFont="1"/>
    <xf numFmtId="0" fontId="8" fillId="2" borderId="0" xfId="0" applyFont="1" applyFill="1" applyBorder="1"/>
    <xf numFmtId="1" fontId="27" fillId="9" borderId="1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0" fillId="6" borderId="0" xfId="0" applyFill="1" applyBorder="1"/>
    <xf numFmtId="0" fontId="1" fillId="2" borderId="0" xfId="0" applyFont="1" applyFill="1" applyBorder="1"/>
    <xf numFmtId="0" fontId="10" fillId="11" borderId="1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0" borderId="4" xfId="0" applyFont="1" applyBorder="1"/>
    <xf numFmtId="0" fontId="3" fillId="0" borderId="5" xfId="0" applyFont="1" applyBorder="1"/>
    <xf numFmtId="0" fontId="1" fillId="6" borderId="0" xfId="0" applyFont="1" applyFill="1"/>
    <xf numFmtId="0" fontId="10" fillId="5" borderId="1" xfId="0" applyFont="1" applyFill="1" applyBorder="1"/>
    <xf numFmtId="0" fontId="10" fillId="5" borderId="1" xfId="0" applyFont="1" applyFill="1" applyBorder="1" applyAlignment="1"/>
    <xf numFmtId="0" fontId="10" fillId="5" borderId="3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6" fillId="2" borderId="1" xfId="0" applyFont="1" applyFill="1" applyBorder="1"/>
    <xf numFmtId="0" fontId="2" fillId="15" borderId="1" xfId="0" applyFont="1" applyFill="1" applyBorder="1" applyAlignment="1">
      <alignment horizontal="center" wrapText="1"/>
    </xf>
    <xf numFmtId="0" fontId="25" fillId="15" borderId="1" xfId="0" applyFont="1" applyFill="1" applyBorder="1" applyAlignment="1">
      <alignment horizontal="center" wrapText="1"/>
    </xf>
    <xf numFmtId="0" fontId="0" fillId="15" borderId="1" xfId="0" applyFill="1" applyBorder="1"/>
    <xf numFmtId="0" fontId="29" fillId="0" borderId="0" xfId="0" applyFont="1"/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0" fillId="0" borderId="2" xfId="0" applyBorder="1"/>
    <xf numFmtId="16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/>
    <xf numFmtId="0" fontId="31" fillId="0" borderId="2" xfId="0" applyFont="1" applyBorder="1"/>
    <xf numFmtId="0" fontId="30" fillId="0" borderId="0" xfId="0" applyFont="1"/>
    <xf numFmtId="0" fontId="33" fillId="0" borderId="0" xfId="0" applyFont="1"/>
    <xf numFmtId="3" fontId="29" fillId="0" borderId="0" xfId="0" applyNumberFormat="1" applyFont="1"/>
    <xf numFmtId="3" fontId="1" fillId="0" borderId="2" xfId="0" applyNumberFormat="1" applyFont="1" applyBorder="1"/>
    <xf numFmtId="0" fontId="32" fillId="0" borderId="0" xfId="0" applyFont="1" applyAlignment="1">
      <alignment horizontal="center" wrapText="1"/>
    </xf>
    <xf numFmtId="0" fontId="28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9" fillId="11" borderId="1" xfId="0" applyFont="1" applyFill="1" applyBorder="1" applyAlignment="1">
      <alignment horizontal="left"/>
    </xf>
    <xf numFmtId="0" fontId="19" fillId="11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11" borderId="1" xfId="0" applyFont="1" applyFill="1" applyBorder="1" applyAlignment="1">
      <alignment horizontal="left"/>
    </xf>
    <xf numFmtId="0" fontId="0" fillId="11" borderId="1" xfId="0" applyFont="1" applyFill="1" applyBorder="1" applyAlignment="1">
      <alignment horizontal="left" wrapText="1"/>
    </xf>
    <xf numFmtId="0" fontId="0" fillId="11" borderId="1" xfId="0" applyFont="1" applyFill="1" applyBorder="1"/>
    <xf numFmtId="0" fontId="0" fillId="11" borderId="1" xfId="0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left"/>
    </xf>
    <xf numFmtId="0" fontId="19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4" fillId="16" borderId="1" xfId="0" applyFont="1" applyFill="1" applyBorder="1" applyAlignment="1">
      <alignment horizontal="center"/>
    </xf>
    <xf numFmtId="0" fontId="34" fillId="16" borderId="1" xfId="0" applyFont="1" applyFill="1" applyBorder="1"/>
    <xf numFmtId="0" fontId="0" fillId="16" borderId="1" xfId="0" applyFill="1" applyBorder="1" applyAlignment="1">
      <alignment horizontal="center"/>
    </xf>
    <xf numFmtId="0" fontId="1" fillId="16" borderId="1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6" borderId="6" xfId="0" applyFont="1" applyFill="1" applyBorder="1" applyAlignment="1">
      <alignment vertical="center" wrapText="1"/>
    </xf>
    <xf numFmtId="0" fontId="1" fillId="17" borderId="1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5" fillId="1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18" borderId="1" xfId="0" applyFont="1" applyFill="1" applyBorder="1" applyAlignment="1">
      <alignment vertical="center"/>
    </xf>
    <xf numFmtId="2" fontId="2" fillId="0" borderId="0" xfId="0" applyNumberFormat="1" applyFont="1" applyAlignment="1">
      <alignment wrapText="1"/>
    </xf>
    <xf numFmtId="0" fontId="25" fillId="0" borderId="1" xfId="0" applyFont="1" applyBorder="1"/>
    <xf numFmtId="0" fontId="1" fillId="0" borderId="0" xfId="0" applyFont="1" applyAlignment="1">
      <alignment horizontal="left"/>
    </xf>
    <xf numFmtId="0" fontId="37" fillId="0" borderId="0" xfId="0" applyFont="1" applyFill="1" applyBorder="1"/>
    <xf numFmtId="0" fontId="37" fillId="0" borderId="0" xfId="0" applyFont="1"/>
    <xf numFmtId="0" fontId="25" fillId="0" borderId="0" xfId="0" applyFont="1"/>
    <xf numFmtId="3" fontId="3" fillId="0" borderId="0" xfId="0" applyNumberFormat="1" applyFont="1"/>
    <xf numFmtId="4" fontId="25" fillId="0" borderId="1" xfId="0" applyNumberFormat="1" applyFont="1" applyBorder="1"/>
    <xf numFmtId="4" fontId="0" fillId="0" borderId="1" xfId="0" applyNumberFormat="1" applyBorder="1"/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/>
    <xf numFmtId="3" fontId="3" fillId="6" borderId="1" xfId="0" applyNumberFormat="1" applyFont="1" applyFill="1" applyBorder="1"/>
    <xf numFmtId="3" fontId="2" fillId="0" borderId="1" xfId="0" applyNumberFormat="1" applyFont="1" applyBorder="1" applyAlignment="1">
      <alignment horizontal="center" wrapText="1"/>
    </xf>
    <xf numFmtId="3" fontId="2" fillId="15" borderId="1" xfId="0" applyNumberFormat="1" applyFont="1" applyFill="1" applyBorder="1" applyAlignment="1">
      <alignment horizontal="center" wrapText="1"/>
    </xf>
    <xf numFmtId="3" fontId="25" fillId="15" borderId="1" xfId="0" applyNumberFormat="1" applyFont="1" applyFill="1" applyBorder="1" applyAlignment="1">
      <alignment horizontal="center" wrapText="1"/>
    </xf>
    <xf numFmtId="3" fontId="0" fillId="15" borderId="1" xfId="0" applyNumberFormat="1" applyFill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/>
    <xf numFmtId="3" fontId="26" fillId="2" borderId="1" xfId="0" applyNumberFormat="1" applyFont="1" applyFill="1" applyBorder="1"/>
    <xf numFmtId="3" fontId="26" fillId="0" borderId="1" xfId="0" applyNumberFormat="1" applyFont="1" applyBorder="1"/>
    <xf numFmtId="3" fontId="2" fillId="6" borderId="1" xfId="0" applyNumberFormat="1" applyFont="1" applyFill="1" applyBorder="1"/>
    <xf numFmtId="3" fontId="2" fillId="10" borderId="1" xfId="0" applyNumberFormat="1" applyFont="1" applyFill="1" applyBorder="1"/>
    <xf numFmtId="3" fontId="3" fillId="10" borderId="1" xfId="0" applyNumberFormat="1" applyFont="1" applyFill="1" applyBorder="1"/>
    <xf numFmtId="3" fontId="10" fillId="11" borderId="1" xfId="0" applyNumberFormat="1" applyFont="1" applyFill="1" applyBorder="1"/>
    <xf numFmtId="3" fontId="2" fillId="11" borderId="1" xfId="0" applyNumberFormat="1" applyFont="1" applyFill="1" applyBorder="1"/>
    <xf numFmtId="3" fontId="10" fillId="11" borderId="1" xfId="0" applyNumberFormat="1" applyFont="1" applyFill="1" applyBorder="1" applyAlignment="1"/>
    <xf numFmtId="3" fontId="10" fillId="5" borderId="1" xfId="0" applyNumberFormat="1" applyFont="1" applyFill="1" applyBorder="1" applyAlignment="1"/>
    <xf numFmtId="3" fontId="10" fillId="11" borderId="3" xfId="0" applyNumberFormat="1" applyFont="1" applyFill="1" applyBorder="1" applyAlignment="1"/>
    <xf numFmtId="3" fontId="10" fillId="5" borderId="3" xfId="0" applyNumberFormat="1" applyFont="1" applyFill="1" applyBorder="1" applyAlignment="1"/>
    <xf numFmtId="3" fontId="10" fillId="5" borderId="1" xfId="0" applyNumberFormat="1" applyFont="1" applyFill="1" applyBorder="1"/>
    <xf numFmtId="3" fontId="10" fillId="6" borderId="1" xfId="0" applyNumberFormat="1" applyFont="1" applyFill="1" applyBorder="1"/>
    <xf numFmtId="3" fontId="24" fillId="0" borderId="1" xfId="0" applyNumberFormat="1" applyFont="1" applyBorder="1"/>
    <xf numFmtId="3" fontId="35" fillId="11" borderId="1" xfId="0" applyNumberFormat="1" applyFont="1" applyFill="1" applyBorder="1"/>
    <xf numFmtId="3" fontId="1" fillId="4" borderId="1" xfId="0" applyNumberFormat="1" applyFont="1" applyFill="1" applyBorder="1" applyAlignment="1">
      <alignment vertical="center"/>
    </xf>
    <xf numFmtId="3" fontId="11" fillId="6" borderId="1" xfId="0" applyNumberFormat="1" applyFont="1" applyFill="1" applyBorder="1"/>
    <xf numFmtId="3" fontId="26" fillId="6" borderId="1" xfId="0" applyNumberFormat="1" applyFont="1" applyFill="1" applyBorder="1"/>
    <xf numFmtId="3" fontId="1" fillId="3" borderId="1" xfId="0" applyNumberFormat="1" applyFont="1" applyFill="1" applyBorder="1" applyAlignment="1">
      <alignment vertical="center"/>
    </xf>
    <xf numFmtId="3" fontId="1" fillId="17" borderId="1" xfId="0" applyNumberFormat="1" applyFont="1" applyFill="1" applyBorder="1" applyAlignment="1">
      <alignment vertical="center"/>
    </xf>
    <xf numFmtId="3" fontId="8" fillId="6" borderId="1" xfId="0" applyNumberFormat="1" applyFont="1" applyFill="1" applyBorder="1"/>
    <xf numFmtId="3" fontId="0" fillId="6" borderId="1" xfId="0" applyNumberFormat="1" applyFill="1" applyBorder="1"/>
    <xf numFmtId="3" fontId="4" fillId="0" borderId="1" xfId="0" applyNumberFormat="1" applyFont="1" applyBorder="1"/>
    <xf numFmtId="3" fontId="5" fillId="13" borderId="1" xfId="0" applyNumberFormat="1" applyFont="1" applyFill="1" applyBorder="1" applyAlignment="1">
      <alignment vertical="center"/>
    </xf>
    <xf numFmtId="3" fontId="4" fillId="6" borderId="1" xfId="0" applyNumberFormat="1" applyFont="1" applyFill="1" applyBorder="1"/>
    <xf numFmtId="3" fontId="36" fillId="6" borderId="1" xfId="0" applyNumberFormat="1" applyFont="1" applyFill="1" applyBorder="1"/>
    <xf numFmtId="3" fontId="1" fillId="6" borderId="1" xfId="0" applyNumberFormat="1" applyFont="1" applyFill="1" applyBorder="1"/>
    <xf numFmtId="3" fontId="1" fillId="18" borderId="1" xfId="0" applyNumberFormat="1" applyFont="1" applyFill="1" applyBorder="1" applyAlignment="1">
      <alignment vertical="center"/>
    </xf>
    <xf numFmtId="3" fontId="1" fillId="5" borderId="1" xfId="0" applyNumberFormat="1" applyFont="1" applyFill="1" applyBorder="1"/>
    <xf numFmtId="3" fontId="5" fillId="5" borderId="1" xfId="0" applyNumberFormat="1" applyFont="1" applyFill="1" applyBorder="1" applyAlignment="1"/>
    <xf numFmtId="3" fontId="1" fillId="8" borderId="1" xfId="0" applyNumberFormat="1" applyFont="1" applyFill="1" applyBorder="1"/>
    <xf numFmtId="3" fontId="5" fillId="12" borderId="1" xfId="0" applyNumberFormat="1" applyFont="1" applyFill="1" applyBorder="1" applyAlignment="1">
      <alignment horizontal="right" vertical="center"/>
    </xf>
    <xf numFmtId="3" fontId="1" fillId="9" borderId="1" xfId="0" applyNumberFormat="1" applyFont="1" applyFill="1" applyBorder="1"/>
    <xf numFmtId="3" fontId="27" fillId="9" borderId="1" xfId="0" applyNumberFormat="1" applyFont="1" applyFill="1" applyBorder="1"/>
    <xf numFmtId="3" fontId="1" fillId="7" borderId="1" xfId="0" applyNumberFormat="1" applyFont="1" applyFill="1" applyBorder="1"/>
    <xf numFmtId="4" fontId="37" fillId="4" borderId="1" xfId="0" applyNumberFormat="1" applyFont="1" applyFill="1" applyBorder="1"/>
    <xf numFmtId="4" fontId="37" fillId="0" borderId="1" xfId="0" applyNumberFormat="1" applyFont="1" applyBorder="1"/>
    <xf numFmtId="3" fontId="25" fillId="0" borderId="0" xfId="0" applyNumberFormat="1" applyFont="1"/>
    <xf numFmtId="4" fontId="38" fillId="0" borderId="0" xfId="0" applyNumberFormat="1" applyFont="1"/>
    <xf numFmtId="10" fontId="3" fillId="6" borderId="1" xfId="0" applyNumberFormat="1" applyFont="1" applyFill="1" applyBorder="1"/>
    <xf numFmtId="10" fontId="0" fillId="15" borderId="1" xfId="0" applyNumberFormat="1" applyFill="1" applyBorder="1"/>
    <xf numFmtId="10" fontId="0" fillId="0" borderId="1" xfId="0" applyNumberFormat="1" applyBorder="1"/>
    <xf numFmtId="10" fontId="26" fillId="2" borderId="1" xfId="0" applyNumberFormat="1" applyFont="1" applyFill="1" applyBorder="1"/>
    <xf numFmtId="10" fontId="2" fillId="6" borderId="1" xfId="0" applyNumberFormat="1" applyFont="1" applyFill="1" applyBorder="1"/>
    <xf numFmtId="10" fontId="3" fillId="10" borderId="1" xfId="0" applyNumberFormat="1" applyFont="1" applyFill="1" applyBorder="1"/>
    <xf numFmtId="10" fontId="2" fillId="11" borderId="1" xfId="0" applyNumberFormat="1" applyFont="1" applyFill="1" applyBorder="1"/>
    <xf numFmtId="10" fontId="10" fillId="11" borderId="1" xfId="0" applyNumberFormat="1" applyFont="1" applyFill="1" applyBorder="1"/>
    <xf numFmtId="10" fontId="1" fillId="4" borderId="1" xfId="0" applyNumberFormat="1" applyFont="1" applyFill="1" applyBorder="1" applyAlignment="1">
      <alignment vertical="center"/>
    </xf>
    <xf numFmtId="10" fontId="1" fillId="3" borderId="1" xfId="0" applyNumberFormat="1" applyFont="1" applyFill="1" applyBorder="1" applyAlignment="1">
      <alignment vertical="center"/>
    </xf>
    <xf numFmtId="10" fontId="1" fillId="17" borderId="1" xfId="0" applyNumberFormat="1" applyFont="1" applyFill="1" applyBorder="1" applyAlignment="1">
      <alignment vertical="center"/>
    </xf>
    <xf numFmtId="10" fontId="9" fillId="6" borderId="1" xfId="0" applyNumberFormat="1" applyFont="1" applyFill="1" applyBorder="1"/>
    <xf numFmtId="10" fontId="5" fillId="13" borderId="1" xfId="0" applyNumberFormat="1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vertical="center"/>
    </xf>
    <xf numFmtId="10" fontId="4" fillId="6" borderId="1" xfId="0" applyNumberFormat="1" applyFont="1" applyFill="1" applyBorder="1"/>
    <xf numFmtId="10" fontId="1" fillId="18" borderId="1" xfId="0" applyNumberFormat="1" applyFont="1" applyFill="1" applyBorder="1" applyAlignment="1">
      <alignment vertical="center"/>
    </xf>
    <xf numFmtId="10" fontId="5" fillId="5" borderId="1" xfId="0" applyNumberFormat="1" applyFont="1" applyFill="1" applyBorder="1" applyAlignment="1"/>
    <xf numFmtId="10" fontId="5" fillId="12" borderId="1" xfId="0" applyNumberFormat="1" applyFont="1" applyFill="1" applyBorder="1" applyAlignment="1">
      <alignment horizontal="right" vertical="center"/>
    </xf>
    <xf numFmtId="10" fontId="5" fillId="9" borderId="1" xfId="0" applyNumberFormat="1" applyFont="1" applyFill="1" applyBorder="1" applyAlignment="1"/>
    <xf numFmtId="10" fontId="1" fillId="7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0" fontId="37" fillId="15" borderId="0" xfId="0" applyFont="1" applyFill="1"/>
    <xf numFmtId="0" fontId="0" fillId="7" borderId="0" xfId="0" applyFill="1" applyBorder="1"/>
    <xf numFmtId="0" fontId="1" fillId="10" borderId="1" xfId="0" applyFont="1" applyFill="1" applyBorder="1" applyAlignment="1">
      <alignment horizontal="left"/>
    </xf>
    <xf numFmtId="1" fontId="1" fillId="10" borderId="1" xfId="0" applyNumberFormat="1" applyFont="1" applyFill="1" applyBorder="1"/>
    <xf numFmtId="3" fontId="1" fillId="10" borderId="1" xfId="0" applyNumberFormat="1" applyFont="1" applyFill="1" applyBorder="1"/>
    <xf numFmtId="10" fontId="1" fillId="10" borderId="1" xfId="0" applyNumberFormat="1" applyFont="1" applyFill="1" applyBorder="1" applyAlignment="1">
      <alignment horizontal="right"/>
    </xf>
    <xf numFmtId="3" fontId="24" fillId="10" borderId="1" xfId="0" applyNumberFormat="1" applyFont="1" applyFill="1" applyBorder="1"/>
    <xf numFmtId="0" fontId="25" fillId="0" borderId="1" xfId="0" applyFont="1" applyBorder="1" applyAlignment="1">
      <alignment horizontal="left" wrapText="1"/>
    </xf>
    <xf numFmtId="0" fontId="25" fillId="0" borderId="4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17" borderId="4" xfId="0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left"/>
    </xf>
    <xf numFmtId="0" fontId="5" fillId="13" borderId="5" xfId="0" applyFont="1" applyFill="1" applyBorder="1" applyAlignment="1">
      <alignment horizontal="left"/>
    </xf>
    <xf numFmtId="0" fontId="5" fillId="13" borderId="6" xfId="0" applyFont="1" applyFill="1" applyBorder="1" applyAlignment="1">
      <alignment horizontal="left"/>
    </xf>
    <xf numFmtId="0" fontId="28" fillId="0" borderId="0" xfId="0" applyFont="1" applyAlignment="1">
      <alignment horizontal="left" wrapText="1"/>
    </xf>
    <xf numFmtId="0" fontId="1" fillId="15" borderId="0" xfId="0" applyFont="1" applyFill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0" fontId="24" fillId="2" borderId="1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A76F-6C8E-4E97-9034-E7B6C77E8931}">
  <sheetPr>
    <pageSetUpPr fitToPage="1"/>
  </sheetPr>
  <dimension ref="A2:W149"/>
  <sheetViews>
    <sheetView tabSelected="1" zoomScaleNormal="100" workbookViewId="0">
      <selection activeCell="A33" sqref="A33:XFD33"/>
    </sheetView>
  </sheetViews>
  <sheetFormatPr defaultRowHeight="14.5" x14ac:dyDescent="0.35"/>
  <cols>
    <col min="1" max="1" width="5.81640625" customWidth="1"/>
    <col min="2" max="6" width="9.1796875" hidden="1" customWidth="1"/>
    <col min="7" max="7" width="44.54296875" style="2" customWidth="1"/>
    <col min="8" max="8" width="9.54296875" hidden="1" customWidth="1"/>
    <col min="9" max="9" width="10.1796875" hidden="1" customWidth="1"/>
    <col min="10" max="10" width="12.54296875" hidden="1" customWidth="1"/>
    <col min="11" max="11" width="11.26953125" hidden="1" customWidth="1"/>
    <col min="12" max="12" width="13.54296875" hidden="1" customWidth="1"/>
    <col min="13" max="14" width="11.81640625" customWidth="1"/>
    <col min="15" max="15" width="9.1796875" customWidth="1"/>
    <col min="16" max="16" width="9.54296875" customWidth="1"/>
    <col min="17" max="17" width="11.453125" customWidth="1"/>
    <col min="18" max="18" width="10.1796875" hidden="1" customWidth="1"/>
    <col min="19" max="19" width="7.81640625" customWidth="1"/>
    <col min="20" max="20" width="10.453125" customWidth="1"/>
    <col min="21" max="21" width="8.54296875" customWidth="1"/>
    <col min="22" max="22" width="10" customWidth="1"/>
    <col min="23" max="23" width="8" customWidth="1"/>
  </cols>
  <sheetData>
    <row r="2" spans="1:23" x14ac:dyDescent="0.35">
      <c r="A2" s="342" t="s">
        <v>386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23" x14ac:dyDescent="0.35">
      <c r="A3" s="189"/>
      <c r="B3" s="189"/>
      <c r="C3" s="189"/>
      <c r="D3" s="189"/>
      <c r="E3" s="189"/>
      <c r="F3" s="189"/>
      <c r="G3" s="189"/>
      <c r="I3" s="57">
        <v>42948</v>
      </c>
    </row>
    <row r="4" spans="1:23" ht="24" customHeight="1" x14ac:dyDescent="0.35">
      <c r="A4" s="343" t="s">
        <v>18</v>
      </c>
      <c r="B4" s="343"/>
      <c r="C4" s="343"/>
      <c r="D4" s="343"/>
      <c r="E4" s="343"/>
      <c r="F4" s="343"/>
      <c r="G4" s="343"/>
      <c r="H4" s="344" t="s">
        <v>125</v>
      </c>
      <c r="I4" s="344" t="s">
        <v>69</v>
      </c>
      <c r="J4" s="317" t="s">
        <v>174</v>
      </c>
      <c r="K4" s="317" t="s">
        <v>217</v>
      </c>
      <c r="L4" s="346" t="s">
        <v>250</v>
      </c>
      <c r="M4" s="317" t="s">
        <v>350</v>
      </c>
      <c r="N4" s="317" t="s">
        <v>252</v>
      </c>
      <c r="O4" s="346" t="s">
        <v>251</v>
      </c>
      <c r="P4" s="346"/>
      <c r="Q4" s="347" t="s">
        <v>393</v>
      </c>
      <c r="R4" s="348"/>
      <c r="S4" s="348"/>
      <c r="T4" s="348"/>
      <c r="U4" s="348"/>
      <c r="V4" s="348"/>
      <c r="W4" s="349"/>
    </row>
    <row r="5" spans="1:23" ht="111" customHeight="1" x14ac:dyDescent="0.35">
      <c r="A5" s="343"/>
      <c r="B5" s="343"/>
      <c r="C5" s="343"/>
      <c r="D5" s="343"/>
      <c r="E5" s="343"/>
      <c r="F5" s="343"/>
      <c r="G5" s="343"/>
      <c r="H5" s="345"/>
      <c r="I5" s="345"/>
      <c r="J5" s="318"/>
      <c r="K5" s="318"/>
      <c r="L5" s="346"/>
      <c r="M5" s="318"/>
      <c r="N5" s="318"/>
      <c r="O5" s="234" t="s">
        <v>21</v>
      </c>
      <c r="P5" s="234" t="s">
        <v>22</v>
      </c>
      <c r="Q5" s="235" t="s">
        <v>118</v>
      </c>
      <c r="R5" s="235" t="s">
        <v>210</v>
      </c>
      <c r="S5" s="235" t="s">
        <v>211</v>
      </c>
      <c r="T5" s="235" t="s">
        <v>119</v>
      </c>
      <c r="U5" s="235" t="s">
        <v>120</v>
      </c>
      <c r="V5" s="235" t="s">
        <v>122</v>
      </c>
      <c r="W5" s="235" t="s">
        <v>121</v>
      </c>
    </row>
    <row r="6" spans="1:23" ht="34.5" customHeight="1" x14ac:dyDescent="0.35">
      <c r="A6" s="335" t="s">
        <v>300</v>
      </c>
      <c r="B6" s="336"/>
      <c r="C6" s="336"/>
      <c r="D6" s="336"/>
      <c r="E6" s="336"/>
      <c r="F6" s="336"/>
      <c r="G6" s="337"/>
      <c r="H6" s="35">
        <f t="shared" ref="H6:J6" si="0">SUM(H7,H29,H30,H31,H32,H33,H34)</f>
        <v>9003000</v>
      </c>
      <c r="I6" s="35">
        <f t="shared" si="0"/>
        <v>41917.58</v>
      </c>
      <c r="J6" s="236">
        <f t="shared" si="0"/>
        <v>15087000</v>
      </c>
      <c r="K6" s="236">
        <f t="shared" ref="K6:L6" si="1">SUM(K7,K29,K30,K31,K32,K33,K34)</f>
        <v>15438000</v>
      </c>
      <c r="L6" s="236">
        <f t="shared" si="1"/>
        <v>16070000</v>
      </c>
      <c r="M6" s="236">
        <f>SUM(M7,M29,M30,M31,M32,M33,M34)</f>
        <v>16132000</v>
      </c>
      <c r="N6" s="236">
        <f>SUM(N28,N7,N29,N30,N31,N32,N33,N34)</f>
        <v>18300400</v>
      </c>
      <c r="O6" s="373">
        <f>N6/M6*1-1</f>
        <v>0.13441606744359036</v>
      </c>
      <c r="P6" s="236">
        <f>N6-M6</f>
        <v>2168400</v>
      </c>
      <c r="Q6" s="236">
        <f>SUM(Q28,Q7,Q29,Q30,Q31,Q32,Q33,Q34)</f>
        <v>18300400</v>
      </c>
      <c r="R6" s="236">
        <f t="shared" ref="R6:S6" si="2">SUM(R7,R29,R30,R31,R32,R33,R34)</f>
        <v>0</v>
      </c>
      <c r="S6" s="236">
        <f t="shared" si="2"/>
        <v>0</v>
      </c>
      <c r="T6" s="236">
        <f>SUM(T7,T29,T30,T31,T32,T33,T34)</f>
        <v>0</v>
      </c>
      <c r="U6" s="236">
        <f>SUM(U7,U29,U30,U31,U32,U33,U34)</f>
        <v>0</v>
      </c>
      <c r="V6" s="236">
        <f>SUM(V7,V29,V30,V31,V32,V33,V34)</f>
        <v>0</v>
      </c>
      <c r="W6" s="236">
        <f>SUM(W7,W29,W30,W31,W32,W33,W34)</f>
        <v>0</v>
      </c>
    </row>
    <row r="7" spans="1:23" ht="30" customHeight="1" x14ac:dyDescent="0.35">
      <c r="A7" s="326" t="s">
        <v>299</v>
      </c>
      <c r="B7" s="327"/>
      <c r="C7" s="327"/>
      <c r="D7" s="327"/>
      <c r="E7" s="327"/>
      <c r="F7" s="327"/>
      <c r="G7" s="328"/>
      <c r="H7" s="9">
        <f t="shared" ref="H7:J7" si="3">SUM(H10:H13)</f>
        <v>8833000</v>
      </c>
      <c r="I7" s="9">
        <f t="shared" si="3"/>
        <v>0</v>
      </c>
      <c r="J7" s="237">
        <f t="shared" si="3"/>
        <v>14916000</v>
      </c>
      <c r="K7" s="237">
        <f t="shared" ref="K7" si="4">SUM(K10:K13)</f>
        <v>15270000</v>
      </c>
      <c r="L7" s="237">
        <f>SUM(L10,L11,L13,L27)</f>
        <v>15814000</v>
      </c>
      <c r="M7" s="237">
        <f>SUM(M12,M10,M11,M13,M27)</f>
        <v>15906000</v>
      </c>
      <c r="N7" s="237">
        <f>SUM(N12,N10,N11,N13,N27)</f>
        <v>17949000</v>
      </c>
      <c r="O7" s="286">
        <f>N7/M7*1-1</f>
        <v>0.12844209732176548</v>
      </c>
      <c r="P7" s="237">
        <f>N7-M7</f>
        <v>2043000</v>
      </c>
      <c r="Q7" s="237">
        <f>SUM(Q12,Q10,Q11,Q13)</f>
        <v>17949000</v>
      </c>
      <c r="R7" s="237">
        <f>SUM(R10,R11,R13,R27)</f>
        <v>0</v>
      </c>
      <c r="S7" s="237"/>
      <c r="T7" s="237">
        <f>SUM(T10:T13)</f>
        <v>0</v>
      </c>
      <c r="U7" s="237">
        <f>SUM(U10:U13)</f>
        <v>0</v>
      </c>
      <c r="V7" s="237">
        <f>SUM(V10:V13)</f>
        <v>0</v>
      </c>
      <c r="W7" s="237">
        <f>SUM(W10:W13)</f>
        <v>0</v>
      </c>
    </row>
    <row r="8" spans="1:23" ht="24" customHeight="1" x14ac:dyDescent="0.35">
      <c r="A8" s="338" t="s">
        <v>1</v>
      </c>
      <c r="B8" s="338"/>
      <c r="C8" s="338"/>
      <c r="D8" s="338"/>
      <c r="E8" s="338"/>
      <c r="F8" s="338"/>
      <c r="G8" s="338"/>
      <c r="H8" s="8">
        <v>78.17</v>
      </c>
      <c r="I8" s="3"/>
      <c r="J8" s="239" t="s">
        <v>237</v>
      </c>
      <c r="K8" s="240" t="s">
        <v>238</v>
      </c>
      <c r="L8" s="241" t="s">
        <v>212</v>
      </c>
      <c r="M8" s="241" t="s">
        <v>247</v>
      </c>
      <c r="N8" s="241" t="s">
        <v>297</v>
      </c>
      <c r="O8" s="287"/>
      <c r="P8" s="242"/>
      <c r="Q8" s="243"/>
      <c r="R8" s="243"/>
      <c r="S8" s="243"/>
      <c r="T8" s="243"/>
      <c r="U8" s="243"/>
      <c r="V8" s="243"/>
      <c r="W8" s="243"/>
    </row>
    <row r="9" spans="1:23" x14ac:dyDescent="0.35">
      <c r="A9" s="187"/>
      <c r="B9" s="187"/>
      <c r="C9" s="187"/>
      <c r="D9" s="187"/>
      <c r="E9" s="187"/>
      <c r="F9" s="187"/>
      <c r="G9" s="187" t="s">
        <v>158</v>
      </c>
      <c r="H9" s="8">
        <v>0.99099999999999999</v>
      </c>
      <c r="I9" s="3"/>
      <c r="J9" s="244">
        <v>0.99099999999999999</v>
      </c>
      <c r="K9" s="244">
        <v>0.99299999999999999</v>
      </c>
      <c r="L9" s="244">
        <v>0.92149999999999999</v>
      </c>
      <c r="M9" s="372">
        <v>0.874</v>
      </c>
      <c r="N9" s="372">
        <v>0.82679999999999998</v>
      </c>
      <c r="O9" s="288"/>
      <c r="P9" s="245"/>
      <c r="Q9" s="243"/>
      <c r="R9" s="243"/>
      <c r="S9" s="243"/>
      <c r="T9" s="243"/>
      <c r="U9" s="243"/>
      <c r="V9" s="243"/>
      <c r="W9" s="243"/>
    </row>
    <row r="10" spans="1:23" ht="30" customHeight="1" x14ac:dyDescent="0.35">
      <c r="A10" s="8"/>
      <c r="B10" s="8"/>
      <c r="C10" s="8"/>
      <c r="D10" s="8"/>
      <c r="E10" s="8"/>
      <c r="F10" s="8"/>
      <c r="G10" s="159" t="s">
        <v>91</v>
      </c>
      <c r="H10" s="160">
        <v>7684000</v>
      </c>
      <c r="I10" s="160"/>
      <c r="J10" s="246">
        <v>11037000</v>
      </c>
      <c r="K10" s="246">
        <v>9833000</v>
      </c>
      <c r="L10" s="247">
        <v>10007000</v>
      </c>
      <c r="M10" s="247">
        <v>9964000</v>
      </c>
      <c r="N10" s="247">
        <v>11187000</v>
      </c>
      <c r="O10" s="289">
        <f>N10/M10*1-1</f>
        <v>0.12274187073464482</v>
      </c>
      <c r="P10" s="246">
        <f>N10-M10</f>
        <v>1223000</v>
      </c>
      <c r="Q10" s="243">
        <f>N10-R10</f>
        <v>11187000</v>
      </c>
      <c r="R10" s="243">
        <v>0</v>
      </c>
      <c r="S10" s="243"/>
      <c r="T10" s="243"/>
      <c r="U10" s="243"/>
      <c r="V10" s="243"/>
      <c r="W10" s="243"/>
    </row>
    <row r="11" spans="1:23" ht="27.75" customHeight="1" x14ac:dyDescent="0.35">
      <c r="A11" s="8"/>
      <c r="B11" s="8"/>
      <c r="C11" s="8"/>
      <c r="D11" s="8"/>
      <c r="E11" s="8"/>
      <c r="F11" s="8"/>
      <c r="G11" s="28" t="s">
        <v>127</v>
      </c>
      <c r="H11" s="8">
        <v>1149000</v>
      </c>
      <c r="I11" s="8"/>
      <c r="J11" s="243">
        <v>966000</v>
      </c>
      <c r="K11" s="243">
        <v>1039000</v>
      </c>
      <c r="L11" s="248">
        <v>892000</v>
      </c>
      <c r="M11" s="248">
        <v>816000</v>
      </c>
      <c r="N11" s="248">
        <v>753000</v>
      </c>
      <c r="O11" s="290">
        <f>N11/M11*1-1</f>
        <v>-7.7205882352941124E-2</v>
      </c>
      <c r="P11" s="243">
        <f>N11-M11</f>
        <v>-63000</v>
      </c>
      <c r="Q11" s="243">
        <f t="shared" ref="Q11:Q12" si="5">N11-R11</f>
        <v>753000</v>
      </c>
      <c r="R11" s="243"/>
      <c r="S11" s="243"/>
      <c r="T11" s="243"/>
      <c r="U11" s="243"/>
      <c r="V11" s="243"/>
      <c r="W11" s="243"/>
    </row>
    <row r="12" spans="1:23" ht="27.75" customHeight="1" x14ac:dyDescent="0.35">
      <c r="A12" s="8"/>
      <c r="B12" s="8"/>
      <c r="C12" s="8"/>
      <c r="D12" s="8"/>
      <c r="E12" s="8"/>
      <c r="F12" s="8"/>
      <c r="G12" s="28" t="s">
        <v>92</v>
      </c>
      <c r="H12" s="8"/>
      <c r="I12" s="8"/>
      <c r="J12" s="243"/>
      <c r="K12" s="243"/>
      <c r="L12" s="243"/>
      <c r="M12" s="243">
        <v>537000</v>
      </c>
      <c r="N12" s="243">
        <v>822000</v>
      </c>
      <c r="O12" s="290">
        <f>N12/M12*1-1</f>
        <v>0.53072625698324027</v>
      </c>
      <c r="P12" s="243">
        <f>N12-M12</f>
        <v>285000</v>
      </c>
      <c r="Q12" s="243">
        <f t="shared" si="5"/>
        <v>822000</v>
      </c>
      <c r="R12" s="243"/>
      <c r="S12" s="243"/>
      <c r="T12" s="243"/>
      <c r="U12" s="243"/>
      <c r="V12" s="243"/>
      <c r="W12" s="243"/>
    </row>
    <row r="13" spans="1:23" ht="30" customHeight="1" x14ac:dyDescent="0.35">
      <c r="A13" s="8"/>
      <c r="B13" s="8"/>
      <c r="C13" s="8"/>
      <c r="D13" s="8"/>
      <c r="E13" s="8"/>
      <c r="F13" s="8"/>
      <c r="G13" s="71" t="s">
        <v>220</v>
      </c>
      <c r="H13" s="60"/>
      <c r="I13" s="60"/>
      <c r="J13" s="250">
        <f>SUM(J14:J26)</f>
        <v>2913000</v>
      </c>
      <c r="K13" s="250">
        <f t="shared" ref="K13:N13" si="6">SUM(K14:K26)</f>
        <v>4398000</v>
      </c>
      <c r="L13" s="250">
        <f t="shared" si="6"/>
        <v>4800000</v>
      </c>
      <c r="M13" s="250">
        <f t="shared" ref="M13" si="7">SUM(M14:M26)</f>
        <v>4589000</v>
      </c>
      <c r="N13" s="250">
        <f t="shared" si="6"/>
        <v>5187000</v>
      </c>
      <c r="O13" s="291">
        <f>N13/M13*1-1</f>
        <v>0.13031161473087827</v>
      </c>
      <c r="P13" s="251">
        <f>N13-M13</f>
        <v>598000</v>
      </c>
      <c r="Q13" s="250">
        <f>SUM(Q14:Q26)</f>
        <v>5187000</v>
      </c>
      <c r="R13" s="250"/>
      <c r="S13" s="250"/>
      <c r="T13" s="250">
        <f>SUM(T14:T26)</f>
        <v>0</v>
      </c>
      <c r="U13" s="250">
        <f>SUM(U14:U26)</f>
        <v>0</v>
      </c>
      <c r="V13" s="250">
        <f>SUM(V14:V26)</f>
        <v>0</v>
      </c>
      <c r="W13" s="250">
        <f>SUM(W14:W26)</f>
        <v>0</v>
      </c>
    </row>
    <row r="14" spans="1:23" ht="15.65" hidden="1" customHeight="1" x14ac:dyDescent="0.35">
      <c r="A14" s="8"/>
      <c r="B14" s="8"/>
      <c r="C14" s="8"/>
      <c r="D14" s="8"/>
      <c r="E14" s="8"/>
      <c r="F14" s="8"/>
      <c r="G14" s="73" t="s">
        <v>89</v>
      </c>
      <c r="H14" s="74"/>
      <c r="I14" s="74"/>
      <c r="J14" s="252">
        <v>2437000</v>
      </c>
      <c r="K14" s="252"/>
      <c r="L14" s="252"/>
      <c r="M14" s="252"/>
      <c r="N14" s="252"/>
      <c r="O14" s="292"/>
      <c r="P14" s="253"/>
      <c r="Q14" s="252"/>
      <c r="R14" s="252"/>
      <c r="S14" s="252"/>
      <c r="T14" s="252"/>
      <c r="U14" s="252"/>
      <c r="V14" s="252"/>
      <c r="W14" s="252"/>
    </row>
    <row r="15" spans="1:23" ht="15.65" hidden="1" customHeight="1" x14ac:dyDescent="0.35">
      <c r="A15" s="8"/>
      <c r="B15" s="8"/>
      <c r="C15" s="8"/>
      <c r="D15" s="8"/>
      <c r="E15" s="8"/>
      <c r="F15" s="8"/>
      <c r="G15" s="73" t="s">
        <v>156</v>
      </c>
      <c r="H15" s="74"/>
      <c r="I15" s="74"/>
      <c r="J15" s="252"/>
      <c r="K15" s="252">
        <v>1134000</v>
      </c>
      <c r="L15" s="252">
        <v>1019000</v>
      </c>
      <c r="M15" s="252">
        <v>477000</v>
      </c>
      <c r="N15" s="252"/>
      <c r="O15" s="292"/>
      <c r="P15" s="253"/>
      <c r="Q15" s="253">
        <f>SUM(N15)</f>
        <v>0</v>
      </c>
      <c r="R15" s="252"/>
      <c r="S15" s="252"/>
      <c r="T15" s="252"/>
      <c r="U15" s="252"/>
      <c r="V15" s="252"/>
      <c r="W15" s="252"/>
    </row>
    <row r="16" spans="1:23" ht="33" hidden="1" customHeight="1" x14ac:dyDescent="0.35">
      <c r="A16" s="8"/>
      <c r="B16" s="8"/>
      <c r="C16" s="8"/>
      <c r="D16" s="8"/>
      <c r="E16" s="8"/>
      <c r="F16" s="8"/>
      <c r="G16" s="77" t="s">
        <v>222</v>
      </c>
      <c r="H16" s="74"/>
      <c r="I16" s="74"/>
      <c r="J16" s="252">
        <v>29000</v>
      </c>
      <c r="K16" s="252"/>
      <c r="L16" s="252"/>
      <c r="M16" s="252"/>
      <c r="N16" s="252"/>
      <c r="O16" s="292"/>
      <c r="P16" s="253"/>
      <c r="Q16" s="253">
        <f t="shared" ref="Q16:Q27" si="8">SUM(N16)</f>
        <v>0</v>
      </c>
      <c r="R16" s="252"/>
      <c r="S16" s="252"/>
      <c r="T16" s="252"/>
      <c r="U16" s="252"/>
      <c r="V16" s="252"/>
      <c r="W16" s="252"/>
    </row>
    <row r="17" spans="1:23" ht="23.5" hidden="1" customHeight="1" x14ac:dyDescent="0.35">
      <c r="A17" s="8"/>
      <c r="B17" s="8"/>
      <c r="C17" s="8"/>
      <c r="D17" s="8"/>
      <c r="E17" s="8"/>
      <c r="F17" s="8"/>
      <c r="G17" s="78" t="s">
        <v>155</v>
      </c>
      <c r="H17" s="74"/>
      <c r="I17" s="74"/>
      <c r="J17" s="252"/>
      <c r="K17" s="252">
        <v>-13000</v>
      </c>
      <c r="L17" s="252"/>
      <c r="M17" s="252"/>
      <c r="N17" s="252"/>
      <c r="O17" s="292"/>
      <c r="P17" s="253"/>
      <c r="Q17" s="253">
        <f t="shared" si="8"/>
        <v>0</v>
      </c>
      <c r="R17" s="252"/>
      <c r="S17" s="252"/>
      <c r="T17" s="252"/>
      <c r="U17" s="252"/>
      <c r="V17" s="252"/>
      <c r="W17" s="252"/>
    </row>
    <row r="18" spans="1:23" ht="27.75" hidden="1" customHeight="1" x14ac:dyDescent="0.35">
      <c r="A18" s="8"/>
      <c r="B18" s="8"/>
      <c r="C18" s="8"/>
      <c r="D18" s="8"/>
      <c r="E18" s="8"/>
      <c r="F18" s="8"/>
      <c r="G18" s="139" t="s">
        <v>296</v>
      </c>
      <c r="H18" s="74"/>
      <c r="I18" s="74"/>
      <c r="J18" s="252">
        <v>220000</v>
      </c>
      <c r="K18" s="252">
        <v>109000</v>
      </c>
      <c r="L18" s="254">
        <v>109000</v>
      </c>
      <c r="M18" s="255">
        <v>109000</v>
      </c>
      <c r="N18" s="255">
        <v>127000</v>
      </c>
      <c r="O18" s="292"/>
      <c r="P18" s="253"/>
      <c r="Q18" s="253">
        <f t="shared" si="8"/>
        <v>127000</v>
      </c>
      <c r="R18" s="252"/>
      <c r="S18" s="252"/>
      <c r="T18" s="252"/>
      <c r="U18" s="252"/>
      <c r="V18" s="252"/>
      <c r="W18" s="252"/>
    </row>
    <row r="19" spans="1:23" ht="18" hidden="1" customHeight="1" x14ac:dyDescent="0.35">
      <c r="A19" s="8"/>
      <c r="B19" s="8"/>
      <c r="C19" s="8"/>
      <c r="D19" s="8"/>
      <c r="E19" s="8"/>
      <c r="F19" s="8"/>
      <c r="G19" s="139" t="s">
        <v>84</v>
      </c>
      <c r="H19" s="74"/>
      <c r="I19" s="74"/>
      <c r="J19" s="252">
        <v>141000</v>
      </c>
      <c r="K19" s="252">
        <v>145000</v>
      </c>
      <c r="L19" s="254">
        <v>186000</v>
      </c>
      <c r="M19" s="255">
        <v>122000</v>
      </c>
      <c r="N19" s="255">
        <v>243000</v>
      </c>
      <c r="O19" s="292"/>
      <c r="P19" s="253"/>
      <c r="Q19" s="253">
        <f t="shared" si="8"/>
        <v>243000</v>
      </c>
      <c r="R19" s="252"/>
      <c r="S19" s="252"/>
      <c r="T19" s="252"/>
      <c r="U19" s="252"/>
      <c r="V19" s="252"/>
      <c r="W19" s="252"/>
    </row>
    <row r="20" spans="1:23" ht="17.149999999999999" hidden="1" customHeight="1" x14ac:dyDescent="0.35">
      <c r="A20" s="8"/>
      <c r="B20" s="8"/>
      <c r="C20" s="8"/>
      <c r="D20" s="8"/>
      <c r="E20" s="8"/>
      <c r="F20" s="8"/>
      <c r="G20" s="139" t="s">
        <v>128</v>
      </c>
      <c r="H20" s="74"/>
      <c r="I20" s="74"/>
      <c r="J20" s="252">
        <v>86000</v>
      </c>
      <c r="K20" s="252">
        <v>91000</v>
      </c>
      <c r="L20" s="256">
        <v>121000</v>
      </c>
      <c r="M20" s="257">
        <v>44000</v>
      </c>
      <c r="N20" s="257">
        <v>180000</v>
      </c>
      <c r="O20" s="292"/>
      <c r="P20" s="253"/>
      <c r="Q20" s="253">
        <f t="shared" si="8"/>
        <v>180000</v>
      </c>
      <c r="R20" s="252"/>
      <c r="S20" s="252"/>
      <c r="T20" s="252"/>
      <c r="U20" s="252"/>
      <c r="V20" s="252"/>
      <c r="W20" s="252"/>
    </row>
    <row r="21" spans="1:23" ht="17.149999999999999" hidden="1" customHeight="1" x14ac:dyDescent="0.35">
      <c r="A21" s="8"/>
      <c r="B21" s="8"/>
      <c r="C21" s="8"/>
      <c r="D21" s="8"/>
      <c r="E21" s="8"/>
      <c r="F21" s="8"/>
      <c r="G21" s="139" t="s">
        <v>157</v>
      </c>
      <c r="H21" s="74"/>
      <c r="I21" s="74"/>
      <c r="J21" s="252"/>
      <c r="K21" s="252">
        <v>19000</v>
      </c>
      <c r="L21" s="252">
        <v>40000</v>
      </c>
      <c r="M21" s="252"/>
      <c r="N21" s="252">
        <v>36000</v>
      </c>
      <c r="O21" s="292"/>
      <c r="P21" s="253"/>
      <c r="Q21" s="253">
        <f t="shared" si="8"/>
        <v>36000</v>
      </c>
      <c r="R21" s="252"/>
      <c r="S21" s="252"/>
      <c r="T21" s="252"/>
      <c r="U21" s="252"/>
      <c r="V21" s="252"/>
      <c r="W21" s="252"/>
    </row>
    <row r="22" spans="1:23" ht="76" hidden="1" customHeight="1" x14ac:dyDescent="0.35">
      <c r="A22" s="8"/>
      <c r="B22" s="8"/>
      <c r="C22" s="8"/>
      <c r="D22" s="8"/>
      <c r="E22" s="8"/>
      <c r="F22" s="8"/>
      <c r="G22" s="78" t="s">
        <v>221</v>
      </c>
      <c r="H22" s="74"/>
      <c r="I22" s="74"/>
      <c r="J22" s="252"/>
      <c r="K22" s="252"/>
      <c r="L22" s="252">
        <v>-6000</v>
      </c>
      <c r="M22" s="252"/>
      <c r="N22" s="252"/>
      <c r="O22" s="292"/>
      <c r="P22" s="253"/>
      <c r="Q22" s="253">
        <f t="shared" si="8"/>
        <v>0</v>
      </c>
      <c r="R22" s="252"/>
      <c r="S22" s="252"/>
      <c r="T22" s="252"/>
      <c r="U22" s="252"/>
      <c r="V22" s="252"/>
      <c r="W22" s="252"/>
    </row>
    <row r="23" spans="1:23" ht="27" hidden="1" customHeight="1" x14ac:dyDescent="0.35">
      <c r="A23" s="8"/>
      <c r="B23" s="8"/>
      <c r="C23" s="8"/>
      <c r="D23" s="8"/>
      <c r="E23" s="8"/>
      <c r="F23" s="8"/>
      <c r="G23" s="78" t="s">
        <v>233</v>
      </c>
      <c r="H23" s="74"/>
      <c r="I23" s="74"/>
      <c r="J23" s="252"/>
      <c r="K23" s="252"/>
      <c r="L23" s="252"/>
      <c r="M23" s="258">
        <v>79000</v>
      </c>
      <c r="N23" s="258"/>
      <c r="O23" s="292"/>
      <c r="P23" s="253"/>
      <c r="Q23" s="253">
        <f t="shared" si="8"/>
        <v>0</v>
      </c>
      <c r="R23" s="252"/>
      <c r="S23" s="252"/>
      <c r="T23" s="252"/>
      <c r="U23" s="252"/>
      <c r="V23" s="252"/>
      <c r="W23" s="252"/>
    </row>
    <row r="24" spans="1:23" ht="27" hidden="1" customHeight="1" x14ac:dyDescent="0.35">
      <c r="A24" s="8"/>
      <c r="B24" s="8"/>
      <c r="C24" s="8"/>
      <c r="D24" s="8"/>
      <c r="E24" s="8"/>
      <c r="F24" s="8"/>
      <c r="G24" s="139" t="s">
        <v>234</v>
      </c>
      <c r="H24" s="74"/>
      <c r="I24" s="74"/>
      <c r="J24" s="252"/>
      <c r="K24" s="252"/>
      <c r="L24" s="252"/>
      <c r="M24" s="258">
        <v>6000</v>
      </c>
      <c r="N24" s="258">
        <v>12000</v>
      </c>
      <c r="O24" s="292"/>
      <c r="P24" s="253"/>
      <c r="Q24" s="253">
        <f t="shared" si="8"/>
        <v>12000</v>
      </c>
      <c r="R24" s="252"/>
      <c r="S24" s="252"/>
      <c r="T24" s="252"/>
      <c r="U24" s="252"/>
      <c r="V24" s="252"/>
      <c r="W24" s="252"/>
    </row>
    <row r="25" spans="1:23" ht="20.149999999999999" hidden="1" customHeight="1" x14ac:dyDescent="0.35">
      <c r="A25" s="8"/>
      <c r="B25" s="8"/>
      <c r="C25" s="8"/>
      <c r="D25" s="8"/>
      <c r="E25" s="8"/>
      <c r="F25" s="8"/>
      <c r="G25" s="139" t="s">
        <v>208</v>
      </c>
      <c r="H25" s="74"/>
      <c r="I25" s="74"/>
      <c r="J25" s="252"/>
      <c r="K25" s="252"/>
      <c r="L25" s="252">
        <v>67000</v>
      </c>
      <c r="M25" s="252"/>
      <c r="N25" s="252"/>
      <c r="O25" s="292"/>
      <c r="P25" s="253"/>
      <c r="Q25" s="253">
        <f t="shared" si="8"/>
        <v>0</v>
      </c>
      <c r="R25" s="252"/>
      <c r="S25" s="252"/>
      <c r="T25" s="252"/>
      <c r="U25" s="252"/>
      <c r="V25" s="252"/>
      <c r="W25" s="252"/>
    </row>
    <row r="26" spans="1:23" ht="31.4" hidden="1" customHeight="1" x14ac:dyDescent="0.35">
      <c r="A26" s="8"/>
      <c r="B26" s="8"/>
      <c r="C26" s="8"/>
      <c r="D26" s="8"/>
      <c r="E26" s="8"/>
      <c r="F26" s="8"/>
      <c r="G26" s="78" t="s">
        <v>205</v>
      </c>
      <c r="H26" s="74"/>
      <c r="I26" s="74"/>
      <c r="J26" s="252"/>
      <c r="K26" s="252">
        <v>2913000</v>
      </c>
      <c r="L26" s="252">
        <v>3264000</v>
      </c>
      <c r="M26" s="252">
        <v>3752000</v>
      </c>
      <c r="N26" s="252">
        <f>M13</f>
        <v>4589000</v>
      </c>
      <c r="O26" s="292"/>
      <c r="P26" s="253"/>
      <c r="Q26" s="253">
        <f t="shared" si="8"/>
        <v>4589000</v>
      </c>
      <c r="R26" s="252"/>
      <c r="S26" s="252"/>
      <c r="T26" s="252"/>
      <c r="U26" s="252"/>
      <c r="V26" s="252"/>
      <c r="W26" s="252"/>
    </row>
    <row r="27" spans="1:23" ht="21" hidden="1" customHeight="1" x14ac:dyDescent="0.35">
      <c r="A27" s="8"/>
      <c r="B27" s="8"/>
      <c r="C27" s="8"/>
      <c r="D27" s="8"/>
      <c r="E27" s="8"/>
      <c r="F27" s="8"/>
      <c r="G27" s="133" t="s">
        <v>206</v>
      </c>
      <c r="H27" s="74"/>
      <c r="I27" s="74"/>
      <c r="J27" s="252"/>
      <c r="K27" s="252"/>
      <c r="L27" s="253">
        <v>115000</v>
      </c>
      <c r="M27" s="253"/>
      <c r="N27" s="253"/>
      <c r="O27" s="292"/>
      <c r="P27" s="253"/>
      <c r="Q27" s="253">
        <f t="shared" si="8"/>
        <v>0</v>
      </c>
      <c r="R27" s="252"/>
      <c r="S27" s="252"/>
      <c r="T27" s="252"/>
      <c r="U27" s="252"/>
      <c r="V27" s="252"/>
      <c r="W27" s="252"/>
    </row>
    <row r="28" spans="1:23" ht="25.5" customHeight="1" x14ac:dyDescent="0.35">
      <c r="A28" s="8"/>
      <c r="B28" s="8"/>
      <c r="C28" s="8"/>
      <c r="D28" s="8"/>
      <c r="E28" s="8"/>
      <c r="F28" s="8"/>
      <c r="G28" s="215" t="s">
        <v>301</v>
      </c>
      <c r="H28" s="46"/>
      <c r="I28" s="46"/>
      <c r="J28" s="259"/>
      <c r="K28" s="259"/>
      <c r="L28" s="249"/>
      <c r="M28" s="249"/>
      <c r="N28" s="238">
        <v>11000</v>
      </c>
      <c r="O28" s="290"/>
      <c r="P28" s="237">
        <f>N28-M28</f>
        <v>11000</v>
      </c>
      <c r="Q28" s="237">
        <f>SUM(N28)</f>
        <v>11000</v>
      </c>
      <c r="R28" s="259"/>
      <c r="S28" s="259"/>
      <c r="T28" s="259"/>
      <c r="U28" s="259"/>
      <c r="V28" s="259"/>
      <c r="W28" s="259"/>
    </row>
    <row r="29" spans="1:23" ht="21" customHeight="1" x14ac:dyDescent="0.35">
      <c r="A29" s="8"/>
      <c r="B29" s="8"/>
      <c r="C29" s="8"/>
      <c r="D29" s="8"/>
      <c r="E29" s="8"/>
      <c r="F29" s="8"/>
      <c r="G29" s="10" t="s">
        <v>302</v>
      </c>
      <c r="H29" s="9">
        <v>91000</v>
      </c>
      <c r="I29" s="9"/>
      <c r="J29" s="237">
        <v>82000</v>
      </c>
      <c r="K29" s="237">
        <v>90000</v>
      </c>
      <c r="L29" s="260">
        <v>120000</v>
      </c>
      <c r="M29" s="260">
        <v>105000</v>
      </c>
      <c r="N29" s="260">
        <v>220000</v>
      </c>
      <c r="O29" s="286">
        <f>N29/M29*1-1</f>
        <v>1.0952380952380953</v>
      </c>
      <c r="P29" s="237">
        <f>N29-M29</f>
        <v>115000</v>
      </c>
      <c r="Q29" s="237">
        <f>SUM(N29)</f>
        <v>220000</v>
      </c>
      <c r="R29" s="237"/>
      <c r="S29" s="237"/>
      <c r="T29" s="237"/>
      <c r="U29" s="237"/>
      <c r="V29" s="237"/>
      <c r="W29" s="237"/>
    </row>
    <row r="30" spans="1:23" ht="18.75" customHeight="1" x14ac:dyDescent="0.35">
      <c r="A30" s="8"/>
      <c r="B30" s="8"/>
      <c r="C30" s="8"/>
      <c r="D30" s="8"/>
      <c r="E30" s="8"/>
      <c r="F30" s="8"/>
      <c r="G30" s="10" t="s">
        <v>2</v>
      </c>
      <c r="H30" s="9">
        <v>6000</v>
      </c>
      <c r="I30" s="9"/>
      <c r="J30" s="237">
        <v>7000</v>
      </c>
      <c r="K30" s="237">
        <v>7000</v>
      </c>
      <c r="L30" s="260">
        <v>8000</v>
      </c>
      <c r="M30" s="260">
        <v>11000</v>
      </c>
      <c r="N30" s="260">
        <v>13400</v>
      </c>
      <c r="O30" s="286">
        <f t="shared" ref="O30:O34" si="9">N30/M30*1-1</f>
        <v>0.21818181818181825</v>
      </c>
      <c r="P30" s="237">
        <f t="shared" ref="P30:P34" si="10">N30-M30</f>
        <v>2400</v>
      </c>
      <c r="Q30" s="237">
        <f t="shared" ref="Q30:Q32" si="11">SUM(N30)</f>
        <v>13400</v>
      </c>
      <c r="R30" s="237"/>
      <c r="S30" s="237"/>
      <c r="T30" s="237"/>
      <c r="U30" s="237"/>
      <c r="V30" s="237"/>
      <c r="W30" s="237"/>
    </row>
    <row r="31" spans="1:23" ht="20.25" customHeight="1" x14ac:dyDescent="0.35">
      <c r="A31" s="8"/>
      <c r="B31" s="8"/>
      <c r="C31" s="8"/>
      <c r="D31" s="8"/>
      <c r="E31" s="8"/>
      <c r="F31" s="8"/>
      <c r="G31" s="10" t="s">
        <v>388</v>
      </c>
      <c r="H31" s="9">
        <v>58000</v>
      </c>
      <c r="I31" s="9">
        <v>3775.31</v>
      </c>
      <c r="J31" s="237">
        <v>65000</v>
      </c>
      <c r="K31" s="237">
        <v>66000</v>
      </c>
      <c r="L31" s="237">
        <v>65000</v>
      </c>
      <c r="M31" s="237">
        <v>65000</v>
      </c>
      <c r="N31" s="260">
        <v>84000</v>
      </c>
      <c r="O31" s="286">
        <f t="shared" si="9"/>
        <v>0.29230769230769238</v>
      </c>
      <c r="P31" s="237">
        <f t="shared" si="10"/>
        <v>19000</v>
      </c>
      <c r="Q31" s="237">
        <f t="shared" si="11"/>
        <v>84000</v>
      </c>
      <c r="R31" s="237"/>
      <c r="S31" s="237"/>
      <c r="T31" s="237"/>
      <c r="U31" s="237"/>
      <c r="V31" s="237"/>
      <c r="W31" s="237"/>
    </row>
    <row r="32" spans="1:23" ht="20.25" customHeight="1" x14ac:dyDescent="0.35">
      <c r="A32" s="8"/>
      <c r="B32" s="8"/>
      <c r="C32" s="8"/>
      <c r="D32" s="8"/>
      <c r="E32" s="8"/>
      <c r="F32" s="8"/>
      <c r="G32" s="10" t="s">
        <v>389</v>
      </c>
      <c r="H32" s="9">
        <v>5000</v>
      </c>
      <c r="I32" s="9"/>
      <c r="J32" s="237">
        <v>1000</v>
      </c>
      <c r="K32" s="237">
        <v>1000</v>
      </c>
      <c r="L32" s="237">
        <v>2000</v>
      </c>
      <c r="M32" s="237">
        <v>2000</v>
      </c>
      <c r="N32" s="237">
        <v>2000</v>
      </c>
      <c r="O32" s="286">
        <f t="shared" si="9"/>
        <v>0</v>
      </c>
      <c r="P32" s="237">
        <f t="shared" si="10"/>
        <v>0</v>
      </c>
      <c r="Q32" s="237">
        <f t="shared" si="11"/>
        <v>2000</v>
      </c>
      <c r="R32" s="237"/>
      <c r="S32" s="237"/>
      <c r="T32" s="237"/>
      <c r="U32" s="237"/>
      <c r="V32" s="237"/>
      <c r="W32" s="237"/>
    </row>
    <row r="33" spans="1:23" ht="20.25" hidden="1" customHeight="1" x14ac:dyDescent="0.35">
      <c r="A33" s="8"/>
      <c r="B33" s="8"/>
      <c r="C33" s="8"/>
      <c r="D33" s="8"/>
      <c r="E33" s="8"/>
      <c r="F33" s="8"/>
      <c r="G33" s="10" t="s">
        <v>40</v>
      </c>
      <c r="H33" s="9"/>
      <c r="I33" s="9">
        <v>15000</v>
      </c>
      <c r="J33" s="237"/>
      <c r="K33" s="237"/>
      <c r="L33" s="237"/>
      <c r="M33" s="237"/>
      <c r="N33" s="237"/>
      <c r="O33" s="286"/>
      <c r="P33" s="237">
        <f t="shared" si="10"/>
        <v>0</v>
      </c>
      <c r="Q33" s="237"/>
      <c r="R33" s="237"/>
      <c r="S33" s="237"/>
      <c r="T33" s="237"/>
      <c r="U33" s="237"/>
      <c r="V33" s="237"/>
      <c r="W33" s="237"/>
    </row>
    <row r="34" spans="1:23" ht="19.5" customHeight="1" x14ac:dyDescent="0.35">
      <c r="A34" s="8"/>
      <c r="B34" s="8"/>
      <c r="C34" s="8"/>
      <c r="D34" s="8"/>
      <c r="E34" s="8"/>
      <c r="F34" s="8"/>
      <c r="G34" s="81" t="s">
        <v>41</v>
      </c>
      <c r="H34" s="82">
        <f>SUM(H35:H42)</f>
        <v>10000</v>
      </c>
      <c r="I34" s="82">
        <f>SUM(I35,I42,I43,I45)</f>
        <v>23142.269999999997</v>
      </c>
      <c r="J34" s="251">
        <f>SUM(J35,J42,J43,J45)</f>
        <v>16000</v>
      </c>
      <c r="K34" s="251">
        <f t="shared" ref="K34:L34" si="12">SUM(K35,K42,K43,K45)</f>
        <v>4000</v>
      </c>
      <c r="L34" s="251">
        <f t="shared" si="12"/>
        <v>61000</v>
      </c>
      <c r="M34" s="251">
        <f>SUM(M35,M42,M45)</f>
        <v>43000</v>
      </c>
      <c r="N34" s="313">
        <f>SUM(N43,N35,N42,N45)</f>
        <v>21000</v>
      </c>
      <c r="O34" s="291">
        <f t="shared" si="9"/>
        <v>-0.51162790697674421</v>
      </c>
      <c r="P34" s="251">
        <f t="shared" si="10"/>
        <v>-22000</v>
      </c>
      <c r="Q34" s="251">
        <f>SUM(Q35,Q42,Q43,Q45)</f>
        <v>21000</v>
      </c>
      <c r="R34" s="251"/>
      <c r="S34" s="251"/>
      <c r="T34" s="251">
        <f>SUM(T35,T42,T43,T45)</f>
        <v>0</v>
      </c>
      <c r="U34" s="251">
        <f>SUM(U35,U42,U43,U45)</f>
        <v>0</v>
      </c>
      <c r="V34" s="251">
        <f>SUM(V35,V42,V43,V45)</f>
        <v>0</v>
      </c>
      <c r="W34" s="251">
        <f>SUM(W35,W42,W43,W45)</f>
        <v>0</v>
      </c>
    </row>
    <row r="35" spans="1:23" ht="19.5" hidden="1" customHeight="1" x14ac:dyDescent="0.35">
      <c r="A35" s="8"/>
      <c r="B35" s="8"/>
      <c r="C35" s="8"/>
      <c r="D35" s="8"/>
      <c r="E35" s="8"/>
      <c r="F35" s="8"/>
      <c r="G35" s="62" t="s">
        <v>225</v>
      </c>
      <c r="H35" s="63">
        <v>9000</v>
      </c>
      <c r="I35" s="63">
        <v>6219.69</v>
      </c>
      <c r="J35" s="252">
        <v>15000</v>
      </c>
      <c r="K35" s="252">
        <v>3000</v>
      </c>
      <c r="L35" s="252">
        <v>9600</v>
      </c>
      <c r="M35" s="252">
        <f>SUM(M36:M41)</f>
        <v>3200</v>
      </c>
      <c r="N35" s="261">
        <f>SUM(N36:N41)</f>
        <v>8000</v>
      </c>
      <c r="O35" s="293">
        <f>N35/M35*1-1</f>
        <v>1.5</v>
      </c>
      <c r="P35" s="252">
        <f>N35-M35</f>
        <v>4800</v>
      </c>
      <c r="Q35" s="252">
        <f>SUM(N35)</f>
        <v>8000</v>
      </c>
      <c r="R35" s="252"/>
      <c r="S35" s="252"/>
      <c r="T35" s="252"/>
      <c r="U35" s="252"/>
      <c r="V35" s="252"/>
      <c r="W35" s="252"/>
    </row>
    <row r="36" spans="1:23" ht="19.5" hidden="1" customHeight="1" x14ac:dyDescent="0.35">
      <c r="A36" s="8"/>
      <c r="B36" s="8"/>
      <c r="C36" s="8"/>
      <c r="D36" s="8"/>
      <c r="E36" s="8"/>
      <c r="F36" s="8"/>
      <c r="G36" s="62" t="s">
        <v>227</v>
      </c>
      <c r="H36" s="63"/>
      <c r="I36" s="63"/>
      <c r="J36" s="252"/>
      <c r="K36" s="252"/>
      <c r="L36" s="252"/>
      <c r="M36" s="252">
        <v>1700</v>
      </c>
      <c r="N36" s="252">
        <v>1500</v>
      </c>
      <c r="O36" s="293"/>
      <c r="P36" s="252"/>
      <c r="Q36" s="252">
        <f t="shared" ref="Q36:Q48" si="13">SUM(N36)</f>
        <v>1500</v>
      </c>
      <c r="R36" s="252"/>
      <c r="S36" s="252"/>
      <c r="T36" s="252"/>
      <c r="U36" s="252"/>
      <c r="V36" s="252"/>
      <c r="W36" s="252"/>
    </row>
    <row r="37" spans="1:23" ht="19.5" hidden="1" customHeight="1" x14ac:dyDescent="0.35">
      <c r="A37" s="8"/>
      <c r="B37" s="8"/>
      <c r="C37" s="8"/>
      <c r="D37" s="8"/>
      <c r="E37" s="8"/>
      <c r="F37" s="8"/>
      <c r="G37" s="62" t="s">
        <v>271</v>
      </c>
      <c r="H37" s="63"/>
      <c r="I37" s="63"/>
      <c r="J37" s="252"/>
      <c r="K37" s="252"/>
      <c r="L37" s="252"/>
      <c r="M37" s="252">
        <v>380</v>
      </c>
      <c r="N37" s="261">
        <v>400</v>
      </c>
      <c r="O37" s="293"/>
      <c r="P37" s="252"/>
      <c r="Q37" s="252">
        <f t="shared" si="13"/>
        <v>400</v>
      </c>
      <c r="R37" s="252"/>
      <c r="S37" s="252"/>
      <c r="T37" s="252"/>
      <c r="U37" s="252"/>
      <c r="V37" s="252"/>
      <c r="W37" s="252"/>
    </row>
    <row r="38" spans="1:23" ht="27.65" hidden="1" customHeight="1" x14ac:dyDescent="0.35">
      <c r="A38" s="8"/>
      <c r="B38" s="8"/>
      <c r="C38" s="8"/>
      <c r="D38" s="8"/>
      <c r="E38" s="8"/>
      <c r="F38" s="8"/>
      <c r="G38" s="151" t="s">
        <v>228</v>
      </c>
      <c r="H38" s="63"/>
      <c r="I38" s="63"/>
      <c r="J38" s="252"/>
      <c r="K38" s="252"/>
      <c r="L38" s="252"/>
      <c r="M38" s="252">
        <v>120</v>
      </c>
      <c r="N38" s="261">
        <v>100</v>
      </c>
      <c r="O38" s="293"/>
      <c r="P38" s="252"/>
      <c r="Q38" s="252">
        <f t="shared" si="13"/>
        <v>100</v>
      </c>
      <c r="R38" s="252"/>
      <c r="S38" s="252"/>
      <c r="T38" s="252"/>
      <c r="U38" s="252"/>
      <c r="V38" s="252"/>
      <c r="W38" s="252"/>
    </row>
    <row r="39" spans="1:23" ht="25.75" hidden="1" customHeight="1" x14ac:dyDescent="0.35">
      <c r="A39" s="8"/>
      <c r="B39" s="8"/>
      <c r="C39" s="8"/>
      <c r="D39" s="8"/>
      <c r="E39" s="8"/>
      <c r="F39" s="8"/>
      <c r="G39" s="151" t="s">
        <v>231</v>
      </c>
      <c r="H39" s="63"/>
      <c r="I39" s="63"/>
      <c r="J39" s="252"/>
      <c r="K39" s="252"/>
      <c r="L39" s="252"/>
      <c r="M39" s="252"/>
      <c r="N39" s="252"/>
      <c r="O39" s="293"/>
      <c r="P39" s="252"/>
      <c r="Q39" s="252">
        <f t="shared" si="13"/>
        <v>0</v>
      </c>
      <c r="R39" s="252"/>
      <c r="S39" s="252"/>
      <c r="T39" s="252"/>
      <c r="U39" s="252"/>
      <c r="V39" s="252"/>
      <c r="W39" s="252"/>
    </row>
    <row r="40" spans="1:23" ht="25.75" hidden="1" customHeight="1" x14ac:dyDescent="0.35">
      <c r="A40" s="8"/>
      <c r="B40" s="8"/>
      <c r="C40" s="8"/>
      <c r="D40" s="8"/>
      <c r="E40" s="8"/>
      <c r="F40" s="8"/>
      <c r="G40" s="62" t="s">
        <v>230</v>
      </c>
      <c r="H40" s="63"/>
      <c r="I40" s="63"/>
      <c r="J40" s="252"/>
      <c r="K40" s="252"/>
      <c r="L40" s="252"/>
      <c r="M40" s="252">
        <v>1000</v>
      </c>
      <c r="N40" s="252">
        <v>1000</v>
      </c>
      <c r="O40" s="293"/>
      <c r="P40" s="252"/>
      <c r="Q40" s="252"/>
      <c r="R40" s="252"/>
      <c r="S40" s="252"/>
      <c r="T40" s="252"/>
      <c r="U40" s="252"/>
      <c r="V40" s="252"/>
      <c r="W40" s="252"/>
    </row>
    <row r="41" spans="1:23" ht="19.5" hidden="1" customHeight="1" x14ac:dyDescent="0.35">
      <c r="A41" s="8"/>
      <c r="B41" s="8"/>
      <c r="C41" s="8"/>
      <c r="D41" s="8"/>
      <c r="E41" s="8"/>
      <c r="F41" s="8"/>
      <c r="G41" s="62" t="s">
        <v>290</v>
      </c>
      <c r="H41" s="63"/>
      <c r="I41" s="63"/>
      <c r="J41" s="252"/>
      <c r="K41" s="252"/>
      <c r="L41" s="252"/>
      <c r="M41" s="252"/>
      <c r="N41" s="252">
        <v>5000</v>
      </c>
      <c r="O41" s="293"/>
      <c r="P41" s="252"/>
      <c r="Q41" s="252">
        <f t="shared" si="13"/>
        <v>5000</v>
      </c>
      <c r="R41" s="252"/>
      <c r="S41" s="252"/>
      <c r="T41" s="252"/>
      <c r="U41" s="252"/>
      <c r="V41" s="252"/>
      <c r="W41" s="252"/>
    </row>
    <row r="42" spans="1:23" ht="19.5" hidden="1" customHeight="1" x14ac:dyDescent="0.35">
      <c r="A42" s="8"/>
      <c r="B42" s="8"/>
      <c r="C42" s="8"/>
      <c r="D42" s="8"/>
      <c r="E42" s="8"/>
      <c r="F42" s="8"/>
      <c r="G42" s="62" t="s">
        <v>36</v>
      </c>
      <c r="H42" s="63">
        <v>1000</v>
      </c>
      <c r="I42" s="63">
        <v>746.71</v>
      </c>
      <c r="J42" s="252">
        <v>1000</v>
      </c>
      <c r="K42" s="252">
        <v>1000</v>
      </c>
      <c r="L42" s="252">
        <v>900</v>
      </c>
      <c r="M42" s="252"/>
      <c r="N42" s="261">
        <v>500</v>
      </c>
      <c r="O42" s="293"/>
      <c r="P42" s="252"/>
      <c r="Q42" s="252">
        <f t="shared" si="13"/>
        <v>500</v>
      </c>
      <c r="R42" s="252"/>
      <c r="S42" s="252"/>
      <c r="T42" s="252"/>
      <c r="U42" s="252"/>
      <c r="V42" s="252"/>
      <c r="W42" s="252"/>
    </row>
    <row r="43" spans="1:23" ht="19.5" hidden="1" customHeight="1" x14ac:dyDescent="0.35">
      <c r="A43" s="8"/>
      <c r="B43" s="8"/>
      <c r="C43" s="8"/>
      <c r="D43" s="8"/>
      <c r="E43" s="8"/>
      <c r="F43" s="8"/>
      <c r="G43" s="62" t="s">
        <v>74</v>
      </c>
      <c r="H43" s="63"/>
      <c r="I43" s="63">
        <v>6857.98</v>
      </c>
      <c r="J43" s="252"/>
      <c r="K43" s="252"/>
      <c r="L43" s="252"/>
      <c r="M43" s="252"/>
      <c r="N43" s="261">
        <v>11000</v>
      </c>
      <c r="O43" s="292"/>
      <c r="P43" s="253"/>
      <c r="Q43" s="252">
        <f t="shared" si="13"/>
        <v>11000</v>
      </c>
      <c r="R43" s="252"/>
      <c r="S43" s="252"/>
      <c r="T43" s="252"/>
      <c r="U43" s="252"/>
      <c r="V43" s="252"/>
      <c r="W43" s="252"/>
    </row>
    <row r="44" spans="1:23" ht="19.5" hidden="1" customHeight="1" x14ac:dyDescent="0.35">
      <c r="A44" s="8"/>
      <c r="B44" s="8"/>
      <c r="C44" s="8"/>
      <c r="D44" s="8"/>
      <c r="E44" s="8"/>
      <c r="F44" s="8"/>
      <c r="G44" s="62" t="s">
        <v>75</v>
      </c>
      <c r="H44" s="63"/>
      <c r="I44" s="63">
        <v>112.67</v>
      </c>
      <c r="J44" s="252"/>
      <c r="K44" s="252"/>
      <c r="L44" s="252"/>
      <c r="M44" s="252"/>
      <c r="N44" s="261"/>
      <c r="O44" s="292"/>
      <c r="P44" s="253"/>
      <c r="Q44" s="252">
        <f t="shared" si="13"/>
        <v>0</v>
      </c>
      <c r="R44" s="252"/>
      <c r="S44" s="252"/>
      <c r="T44" s="252"/>
      <c r="U44" s="252"/>
      <c r="V44" s="252"/>
      <c r="W44" s="252"/>
    </row>
    <row r="45" spans="1:23" ht="19.5" hidden="1" customHeight="1" x14ac:dyDescent="0.35">
      <c r="A45" s="8"/>
      <c r="B45" s="59"/>
      <c r="C45" s="8"/>
      <c r="D45" s="8"/>
      <c r="E45" s="8"/>
      <c r="F45" s="8"/>
      <c r="G45" s="62" t="s">
        <v>132</v>
      </c>
      <c r="H45" s="63"/>
      <c r="I45" s="63">
        <v>9317.89</v>
      </c>
      <c r="J45" s="252"/>
      <c r="K45" s="252"/>
      <c r="L45" s="252">
        <v>50500</v>
      </c>
      <c r="M45" s="252">
        <v>39800</v>
      </c>
      <c r="N45" s="261">
        <v>1500</v>
      </c>
      <c r="O45" s="292"/>
      <c r="P45" s="252"/>
      <c r="Q45" s="252">
        <f t="shared" si="13"/>
        <v>1500</v>
      </c>
      <c r="R45" s="252"/>
      <c r="S45" s="252"/>
      <c r="T45" s="252"/>
      <c r="U45" s="252"/>
      <c r="V45" s="252"/>
      <c r="W45" s="252"/>
    </row>
    <row r="46" spans="1:23" ht="19.5" hidden="1" customHeight="1" x14ac:dyDescent="0.35">
      <c r="A46" s="8"/>
      <c r="B46" s="58"/>
      <c r="C46" s="58"/>
      <c r="D46" s="58"/>
      <c r="E46" s="58"/>
      <c r="F46" s="58"/>
      <c r="G46" s="62" t="s">
        <v>273</v>
      </c>
      <c r="H46" s="63"/>
      <c r="I46" s="63"/>
      <c r="J46" s="252"/>
      <c r="K46" s="252"/>
      <c r="L46" s="252"/>
      <c r="M46" s="252"/>
      <c r="N46" s="252"/>
      <c r="O46" s="292"/>
      <c r="P46" s="252">
        <f t="shared" ref="P46:P57" si="14">N46-M46</f>
        <v>0</v>
      </c>
      <c r="Q46" s="252">
        <f t="shared" si="13"/>
        <v>0</v>
      </c>
      <c r="R46" s="252"/>
      <c r="S46" s="252"/>
      <c r="T46" s="252"/>
      <c r="U46" s="252"/>
      <c r="V46" s="252"/>
      <c r="W46" s="252"/>
    </row>
    <row r="47" spans="1:23" ht="25.5" hidden="1" customHeight="1" x14ac:dyDescent="0.35">
      <c r="A47" s="8"/>
      <c r="B47" s="58"/>
      <c r="C47" s="58"/>
      <c r="D47" s="58"/>
      <c r="E47" s="58"/>
      <c r="F47" s="58"/>
      <c r="G47" s="151" t="s">
        <v>275</v>
      </c>
      <c r="H47" s="63"/>
      <c r="I47" s="63">
        <v>6370</v>
      </c>
      <c r="J47" s="252"/>
      <c r="K47" s="252"/>
      <c r="L47" s="252"/>
      <c r="M47" s="252"/>
      <c r="N47" s="252"/>
      <c r="O47" s="292"/>
      <c r="P47" s="252">
        <f t="shared" si="14"/>
        <v>0</v>
      </c>
      <c r="Q47" s="252">
        <f t="shared" si="13"/>
        <v>0</v>
      </c>
      <c r="R47" s="252"/>
      <c r="S47" s="252"/>
      <c r="T47" s="252"/>
      <c r="U47" s="252"/>
      <c r="V47" s="252"/>
      <c r="W47" s="252"/>
    </row>
    <row r="48" spans="1:23" ht="19.5" hidden="1" customHeight="1" x14ac:dyDescent="0.35">
      <c r="A48" s="8"/>
      <c r="B48" s="58"/>
      <c r="C48" s="58"/>
      <c r="D48" s="58"/>
      <c r="E48" s="58"/>
      <c r="F48" s="58"/>
      <c r="G48" s="62" t="s">
        <v>274</v>
      </c>
      <c r="H48" s="63"/>
      <c r="I48" s="63">
        <v>1649.41</v>
      </c>
      <c r="J48" s="252"/>
      <c r="K48" s="252"/>
      <c r="L48" s="252"/>
      <c r="M48" s="252"/>
      <c r="N48" s="252">
        <v>800</v>
      </c>
      <c r="O48" s="293"/>
      <c r="P48" s="252">
        <f t="shared" si="14"/>
        <v>800</v>
      </c>
      <c r="Q48" s="252">
        <f t="shared" si="13"/>
        <v>800</v>
      </c>
      <c r="R48" s="252"/>
      <c r="S48" s="252"/>
      <c r="T48" s="252"/>
      <c r="U48" s="252"/>
      <c r="V48" s="252"/>
      <c r="W48" s="252"/>
    </row>
    <row r="49" spans="1:23" ht="33" customHeight="1" x14ac:dyDescent="0.35">
      <c r="A49" s="44" t="s">
        <v>298</v>
      </c>
      <c r="B49" s="44"/>
      <c r="C49" s="44"/>
      <c r="D49" s="44"/>
      <c r="E49" s="44"/>
      <c r="F49" s="44"/>
      <c r="G49" s="44"/>
      <c r="H49" s="44" t="e">
        <f>SUM(H50,H55,#REF!,H61)</f>
        <v>#REF!</v>
      </c>
      <c r="I49" s="44" t="e">
        <f>SUM(I50,I55,#REF!,I61)</f>
        <v>#REF!</v>
      </c>
      <c r="J49" s="262">
        <f>SUM(J50,J55,J61)</f>
        <v>1671000</v>
      </c>
      <c r="K49" s="262">
        <f t="shared" ref="K49:L49" si="15">SUM(K50,K55,K61)</f>
        <v>1806350</v>
      </c>
      <c r="L49" s="262">
        <f t="shared" si="15"/>
        <v>1933300</v>
      </c>
      <c r="M49" s="262">
        <f>SUM(M50,M55,M61)</f>
        <v>1671500</v>
      </c>
      <c r="N49" s="262">
        <f>SUM(N50,N55,N61)</f>
        <v>2130300</v>
      </c>
      <c r="O49" s="294">
        <f>L49/K49*1-1</f>
        <v>7.0279846098485921E-2</v>
      </c>
      <c r="P49" s="262">
        <f t="shared" si="14"/>
        <v>458800</v>
      </c>
      <c r="Q49" s="262">
        <f t="shared" ref="Q49:W49" si="16">SUM(Q50,Q55,Q61)</f>
        <v>989300</v>
      </c>
      <c r="R49" s="262">
        <f t="shared" si="16"/>
        <v>0</v>
      </c>
      <c r="S49" s="262">
        <f t="shared" si="16"/>
        <v>91000</v>
      </c>
      <c r="T49" s="262">
        <f t="shared" si="16"/>
        <v>1050000</v>
      </c>
      <c r="U49" s="262">
        <f t="shared" si="16"/>
        <v>0</v>
      </c>
      <c r="V49" s="262">
        <f t="shared" si="16"/>
        <v>0</v>
      </c>
      <c r="W49" s="262">
        <f t="shared" si="16"/>
        <v>0</v>
      </c>
    </row>
    <row r="50" spans="1:23" x14ac:dyDescent="0.35">
      <c r="A50" s="9" t="s">
        <v>303</v>
      </c>
      <c r="B50" s="9"/>
      <c r="C50" s="9"/>
      <c r="D50" s="9"/>
      <c r="E50" s="9"/>
      <c r="F50" s="9"/>
      <c r="G50" s="10" t="s">
        <v>13</v>
      </c>
      <c r="H50" s="15">
        <v>966400</v>
      </c>
      <c r="I50" s="9">
        <f>SUM(I51:I54)</f>
        <v>567938.82000000007</v>
      </c>
      <c r="J50" s="238">
        <v>1043500</v>
      </c>
      <c r="K50" s="237">
        <f>SUM(K52:K54)</f>
        <v>1168660</v>
      </c>
      <c r="L50" s="238">
        <f>SUM(L52:L54)</f>
        <v>1240600</v>
      </c>
      <c r="M50" s="238">
        <f>SUM(M52:M54)</f>
        <v>957500</v>
      </c>
      <c r="N50" s="238">
        <f>SUM(N52:N54)</f>
        <v>1050000</v>
      </c>
      <c r="O50" s="286">
        <f t="shared" ref="O50" si="17">N50/M50*1-1</f>
        <v>9.6605744125326298E-2</v>
      </c>
      <c r="P50" s="237">
        <f t="shared" si="14"/>
        <v>92500</v>
      </c>
      <c r="Q50" s="238"/>
      <c r="R50" s="238"/>
      <c r="S50" s="238"/>
      <c r="T50" s="238">
        <f>SUM(N50)</f>
        <v>1050000</v>
      </c>
      <c r="U50" s="238"/>
      <c r="V50" s="238"/>
      <c r="W50" s="238"/>
    </row>
    <row r="51" spans="1:23" hidden="1" x14ac:dyDescent="0.35">
      <c r="A51" s="8"/>
      <c r="B51" s="8"/>
      <c r="C51" s="8"/>
      <c r="D51" s="8"/>
      <c r="E51" s="8"/>
      <c r="F51" s="8"/>
      <c r="G51" s="29" t="s">
        <v>58</v>
      </c>
      <c r="H51" s="46"/>
      <c r="I51" s="8"/>
      <c r="J51" s="249"/>
      <c r="K51" s="249"/>
      <c r="L51" s="249"/>
      <c r="M51" s="249"/>
      <c r="N51" s="249"/>
      <c r="O51" s="290"/>
      <c r="P51" s="243"/>
      <c r="Q51" s="249"/>
      <c r="R51" s="249"/>
      <c r="S51" s="249"/>
      <c r="T51" s="249"/>
      <c r="U51" s="249"/>
      <c r="V51" s="249"/>
      <c r="W51" s="249"/>
    </row>
    <row r="52" spans="1:23" hidden="1" x14ac:dyDescent="0.35">
      <c r="A52" s="8"/>
      <c r="B52" s="8"/>
      <c r="C52" s="8"/>
      <c r="D52" s="8"/>
      <c r="E52" s="8"/>
      <c r="F52" s="8"/>
      <c r="G52" s="29" t="s">
        <v>70</v>
      </c>
      <c r="H52" s="46"/>
      <c r="I52" s="8">
        <v>114047.88</v>
      </c>
      <c r="J52" s="249">
        <v>199673</v>
      </c>
      <c r="K52" s="249">
        <v>244070</v>
      </c>
      <c r="L52" s="249">
        <v>193600</v>
      </c>
      <c r="M52" s="249">
        <v>151900</v>
      </c>
      <c r="N52" s="264">
        <v>159700</v>
      </c>
      <c r="O52" s="290">
        <f t="shared" ref="O52:O55" si="18">N52/M52*1-1</f>
        <v>5.1349572086899276E-2</v>
      </c>
      <c r="P52" s="243">
        <f t="shared" si="14"/>
        <v>7800</v>
      </c>
      <c r="Q52" s="249"/>
      <c r="R52" s="249"/>
      <c r="S52" s="249"/>
      <c r="T52" s="249">
        <f t="shared" ref="T52:T54" si="19">SUM(N52)</f>
        <v>159700</v>
      </c>
      <c r="U52" s="249"/>
      <c r="V52" s="249"/>
      <c r="W52" s="249"/>
    </row>
    <row r="53" spans="1:23" hidden="1" x14ac:dyDescent="0.35">
      <c r="A53" s="8"/>
      <c r="B53" s="8"/>
      <c r="C53" s="8"/>
      <c r="D53" s="8"/>
      <c r="E53" s="8"/>
      <c r="F53" s="8"/>
      <c r="G53" s="29" t="s">
        <v>71</v>
      </c>
      <c r="H53" s="46"/>
      <c r="I53" s="8">
        <v>64432.95</v>
      </c>
      <c r="J53" s="249">
        <v>104597</v>
      </c>
      <c r="K53" s="249">
        <v>96990</v>
      </c>
      <c r="L53" s="249">
        <v>180150</v>
      </c>
      <c r="M53" s="249">
        <v>86600</v>
      </c>
      <c r="N53" s="264">
        <v>501800</v>
      </c>
      <c r="O53" s="290">
        <f t="shared" si="18"/>
        <v>4.7944572748267902</v>
      </c>
      <c r="P53" s="243">
        <f t="shared" si="14"/>
        <v>415200</v>
      </c>
      <c r="Q53" s="249"/>
      <c r="R53" s="249"/>
      <c r="S53" s="249"/>
      <c r="T53" s="249">
        <f t="shared" si="19"/>
        <v>501800</v>
      </c>
      <c r="U53" s="249"/>
      <c r="V53" s="249"/>
      <c r="W53" s="249"/>
    </row>
    <row r="54" spans="1:23" ht="24.5" hidden="1" x14ac:dyDescent="0.35">
      <c r="A54" s="8"/>
      <c r="B54" s="8"/>
      <c r="C54" s="8"/>
      <c r="D54" s="8"/>
      <c r="E54" s="8"/>
      <c r="F54" s="8"/>
      <c r="G54" s="28" t="s">
        <v>72</v>
      </c>
      <c r="H54" s="46"/>
      <c r="I54" s="8">
        <v>389457.99</v>
      </c>
      <c r="J54" s="249">
        <v>739230</v>
      </c>
      <c r="K54" s="249">
        <v>827600</v>
      </c>
      <c r="L54" s="249">
        <v>866850</v>
      </c>
      <c r="M54" s="249">
        <v>719000</v>
      </c>
      <c r="N54" s="264">
        <v>388500</v>
      </c>
      <c r="O54" s="290">
        <f t="shared" si="18"/>
        <v>-0.45966620305980532</v>
      </c>
      <c r="P54" s="243">
        <f t="shared" si="14"/>
        <v>-330500</v>
      </c>
      <c r="Q54" s="249"/>
      <c r="R54" s="249"/>
      <c r="S54" s="249"/>
      <c r="T54" s="249">
        <f t="shared" si="19"/>
        <v>388500</v>
      </c>
      <c r="U54" s="249"/>
      <c r="V54" s="249"/>
      <c r="W54" s="249"/>
    </row>
    <row r="55" spans="1:23" x14ac:dyDescent="0.35">
      <c r="A55" s="9" t="s">
        <v>304</v>
      </c>
      <c r="B55" s="9"/>
      <c r="C55" s="9"/>
      <c r="D55" s="9"/>
      <c r="E55" s="9"/>
      <c r="F55" s="9"/>
      <c r="G55" s="10" t="s">
        <v>34</v>
      </c>
      <c r="H55" s="9">
        <v>1000</v>
      </c>
      <c r="I55" s="9">
        <f>SUM(I56:I60)</f>
        <v>50124.2</v>
      </c>
      <c r="J55" s="237">
        <v>95000</v>
      </c>
      <c r="K55" s="237">
        <f>SUM(K56:K60)</f>
        <v>80000</v>
      </c>
      <c r="L55" s="237">
        <f>SUM(L56:L60)</f>
        <v>61000</v>
      </c>
      <c r="M55" s="237">
        <f>SUM(M56:M60)</f>
        <v>60000</v>
      </c>
      <c r="N55" s="237">
        <f>SUM(N56:N60)</f>
        <v>91000</v>
      </c>
      <c r="O55" s="286">
        <f t="shared" si="18"/>
        <v>0.51666666666666661</v>
      </c>
      <c r="P55" s="237">
        <f t="shared" si="14"/>
        <v>31000</v>
      </c>
      <c r="Q55" s="237">
        <f>SUM(Q57:Q60)</f>
        <v>0</v>
      </c>
      <c r="R55" s="237">
        <f t="shared" ref="R55:S55" si="20">SUM(R57:R60)</f>
        <v>0</v>
      </c>
      <c r="S55" s="237">
        <f t="shared" si="20"/>
        <v>91000</v>
      </c>
      <c r="T55" s="237"/>
      <c r="U55" s="237"/>
      <c r="V55" s="237"/>
      <c r="W55" s="237"/>
    </row>
    <row r="56" spans="1:23" hidden="1" x14ac:dyDescent="0.35">
      <c r="A56" s="8"/>
      <c r="B56" s="8"/>
      <c r="C56" s="8"/>
      <c r="D56" s="8"/>
      <c r="E56" s="8"/>
      <c r="F56" s="8"/>
      <c r="G56" s="29" t="s">
        <v>58</v>
      </c>
      <c r="H56" s="8"/>
      <c r="I56" s="8"/>
      <c r="J56" s="243"/>
      <c r="K56" s="243"/>
      <c r="L56" s="243"/>
      <c r="M56" s="243"/>
      <c r="N56" s="243"/>
      <c r="O56" s="290"/>
      <c r="P56" s="243"/>
      <c r="Q56" s="243"/>
      <c r="R56" s="243"/>
      <c r="S56" s="243"/>
      <c r="T56" s="243"/>
      <c r="U56" s="243"/>
      <c r="V56" s="243"/>
      <c r="W56" s="243"/>
    </row>
    <row r="57" spans="1:23" ht="24.5" hidden="1" x14ac:dyDescent="0.35">
      <c r="A57" s="8"/>
      <c r="B57" s="8"/>
      <c r="C57" s="8"/>
      <c r="D57" s="8"/>
      <c r="E57" s="8"/>
      <c r="F57" s="8"/>
      <c r="G57" s="28" t="s">
        <v>80</v>
      </c>
      <c r="H57" s="8"/>
      <c r="I57" s="8">
        <v>50103</v>
      </c>
      <c r="J57" s="243"/>
      <c r="K57" s="243">
        <v>80000</v>
      </c>
      <c r="L57" s="243">
        <v>61000</v>
      </c>
      <c r="M57" s="243">
        <v>60000</v>
      </c>
      <c r="N57" s="243">
        <v>60000</v>
      </c>
      <c r="O57" s="290">
        <f t="shared" ref="O57" si="21">N57/M57*1-1</f>
        <v>0</v>
      </c>
      <c r="P57" s="243">
        <f t="shared" si="14"/>
        <v>0</v>
      </c>
      <c r="Q57" s="243"/>
      <c r="R57" s="243"/>
      <c r="S57" s="243">
        <f>N57</f>
        <v>60000</v>
      </c>
      <c r="T57" s="243"/>
      <c r="U57" s="243"/>
      <c r="V57" s="243"/>
      <c r="W57" s="243"/>
    </row>
    <row r="58" spans="1:23" hidden="1" x14ac:dyDescent="0.35">
      <c r="A58" s="8"/>
      <c r="B58" s="8"/>
      <c r="C58" s="8"/>
      <c r="D58" s="8"/>
      <c r="E58" s="8"/>
      <c r="F58" s="8"/>
      <c r="G58" s="29" t="s">
        <v>81</v>
      </c>
      <c r="H58" s="8"/>
      <c r="I58" s="8"/>
      <c r="J58" s="243"/>
      <c r="K58" s="243"/>
      <c r="L58" s="243"/>
      <c r="M58" s="243"/>
      <c r="N58" s="243">
        <v>30000</v>
      </c>
      <c r="O58" s="290"/>
      <c r="P58" s="243"/>
      <c r="Q58" s="243"/>
      <c r="R58" s="243"/>
      <c r="S58" s="243">
        <f>N58</f>
        <v>30000</v>
      </c>
      <c r="T58" s="243"/>
      <c r="U58" s="243"/>
      <c r="V58" s="243"/>
      <c r="W58" s="243"/>
    </row>
    <row r="59" spans="1:23" hidden="1" x14ac:dyDescent="0.35">
      <c r="A59" s="8"/>
      <c r="B59" s="8"/>
      <c r="C59" s="8"/>
      <c r="D59" s="8"/>
      <c r="E59" s="8"/>
      <c r="F59" s="8"/>
      <c r="G59" s="29" t="s">
        <v>73</v>
      </c>
      <c r="H59" s="8"/>
      <c r="I59" s="8">
        <v>21.2</v>
      </c>
      <c r="J59" s="243"/>
      <c r="K59" s="243"/>
      <c r="L59" s="243"/>
      <c r="M59" s="243"/>
      <c r="N59" s="243"/>
      <c r="O59" s="290"/>
      <c r="P59" s="243"/>
      <c r="Q59" s="243"/>
      <c r="R59" s="243"/>
      <c r="S59" s="243"/>
      <c r="T59" s="243"/>
      <c r="U59" s="243"/>
      <c r="V59" s="243"/>
      <c r="W59" s="243"/>
    </row>
    <row r="60" spans="1:23" hidden="1" x14ac:dyDescent="0.35">
      <c r="A60" s="8"/>
      <c r="B60" s="8"/>
      <c r="C60" s="8"/>
      <c r="D60" s="8"/>
      <c r="E60" s="8"/>
      <c r="F60" s="8"/>
      <c r="G60" s="29" t="s">
        <v>68</v>
      </c>
      <c r="H60" s="8"/>
      <c r="I60" s="8"/>
      <c r="J60" s="243"/>
      <c r="K60" s="243"/>
      <c r="L60" s="243"/>
      <c r="M60" s="243"/>
      <c r="N60" s="243">
        <v>1000</v>
      </c>
      <c r="O60" s="290"/>
      <c r="P60" s="243"/>
      <c r="Q60" s="243"/>
      <c r="R60" s="243"/>
      <c r="S60" s="243">
        <f>N60</f>
        <v>1000</v>
      </c>
      <c r="T60" s="243"/>
      <c r="U60" s="243"/>
      <c r="V60" s="243"/>
      <c r="W60" s="243"/>
    </row>
    <row r="61" spans="1:23" x14ac:dyDescent="0.35">
      <c r="A61" s="9" t="s">
        <v>305</v>
      </c>
      <c r="B61" s="9"/>
      <c r="C61" s="9"/>
      <c r="D61" s="9"/>
      <c r="E61" s="9"/>
      <c r="F61" s="9"/>
      <c r="G61" s="10" t="s">
        <v>16</v>
      </c>
      <c r="H61" s="9">
        <v>5000</v>
      </c>
      <c r="I61" s="9">
        <f>SUM(I63:I69)</f>
        <v>5342.19</v>
      </c>
      <c r="J61" s="237">
        <v>532500</v>
      </c>
      <c r="K61" s="237">
        <f>SUM(K63:K69)</f>
        <v>557690</v>
      </c>
      <c r="L61" s="237">
        <f>SUM(L63:L69)</f>
        <v>631700</v>
      </c>
      <c r="M61" s="237">
        <f>SUM(M63:M69)</f>
        <v>654000</v>
      </c>
      <c r="N61" s="237">
        <f>SUM(N63:N69)</f>
        <v>989300</v>
      </c>
      <c r="O61" s="286">
        <f t="shared" ref="O61" si="22">N61/M61*1-1</f>
        <v>0.51269113149847101</v>
      </c>
      <c r="P61" s="237">
        <f t="shared" ref="P61" si="23">N61-M61</f>
        <v>335300</v>
      </c>
      <c r="Q61" s="237">
        <f>SUM(Q64:Q69)</f>
        <v>989300</v>
      </c>
      <c r="R61" s="237"/>
      <c r="S61" s="237"/>
      <c r="T61" s="237"/>
      <c r="U61" s="237"/>
      <c r="V61" s="237"/>
      <c r="W61" s="237"/>
    </row>
    <row r="62" spans="1:23" hidden="1" x14ac:dyDescent="0.35">
      <c r="A62" s="8"/>
      <c r="B62" s="8"/>
      <c r="C62" s="8"/>
      <c r="D62" s="8"/>
      <c r="E62" s="8"/>
      <c r="F62" s="8"/>
      <c r="G62" s="29" t="s">
        <v>58</v>
      </c>
      <c r="H62" s="8"/>
      <c r="I62" s="8"/>
      <c r="J62" s="243"/>
      <c r="K62" s="243"/>
      <c r="L62" s="243"/>
      <c r="M62" s="243"/>
      <c r="N62" s="243"/>
      <c r="O62" s="290"/>
      <c r="P62" s="243"/>
      <c r="Q62" s="243"/>
      <c r="R62" s="243"/>
      <c r="S62" s="243"/>
      <c r="T62" s="243"/>
      <c r="U62" s="243"/>
      <c r="V62" s="243"/>
      <c r="W62" s="243"/>
    </row>
    <row r="63" spans="1:23" hidden="1" x14ac:dyDescent="0.35">
      <c r="A63" s="8"/>
      <c r="B63" s="8"/>
      <c r="C63" s="8"/>
      <c r="D63" s="8"/>
      <c r="E63" s="8"/>
      <c r="F63" s="8"/>
      <c r="G63" s="29" t="s">
        <v>54</v>
      </c>
      <c r="H63" s="8"/>
      <c r="I63" s="8"/>
      <c r="J63" s="243"/>
      <c r="K63" s="243"/>
      <c r="L63" s="243"/>
      <c r="M63" s="243"/>
      <c r="N63" s="243"/>
      <c r="O63" s="290"/>
      <c r="P63" s="243"/>
      <c r="Q63" s="243"/>
      <c r="R63" s="243"/>
      <c r="S63" s="243"/>
      <c r="T63" s="243"/>
      <c r="U63" s="243"/>
      <c r="V63" s="243"/>
      <c r="W63" s="243"/>
    </row>
    <row r="64" spans="1:23" hidden="1" x14ac:dyDescent="0.35">
      <c r="A64" s="8"/>
      <c r="B64" s="8"/>
      <c r="C64" s="8"/>
      <c r="D64" s="8"/>
      <c r="E64" s="8"/>
      <c r="F64" s="8"/>
      <c r="G64" s="29" t="s">
        <v>66</v>
      </c>
      <c r="H64" s="8"/>
      <c r="I64" s="8">
        <v>294</v>
      </c>
      <c r="J64" s="243"/>
      <c r="K64" s="243">
        <v>700</v>
      </c>
      <c r="L64" s="243">
        <v>700</v>
      </c>
      <c r="M64" s="243">
        <v>700</v>
      </c>
      <c r="N64" s="243">
        <v>500</v>
      </c>
      <c r="O64" s="290">
        <f t="shared" ref="O64:O67" si="24">N64/M64*1-1</f>
        <v>-0.2857142857142857</v>
      </c>
      <c r="P64" s="243">
        <f t="shared" ref="P64:P69" si="25">N64-M64</f>
        <v>-200</v>
      </c>
      <c r="Q64" s="243">
        <f t="shared" ref="Q64:Q69" si="26">SUM(N64)</f>
        <v>500</v>
      </c>
      <c r="R64" s="243"/>
      <c r="S64" s="243"/>
      <c r="T64" s="243"/>
      <c r="U64" s="243"/>
      <c r="V64" s="243"/>
      <c r="W64" s="243"/>
    </row>
    <row r="65" spans="1:23" hidden="1" x14ac:dyDescent="0.35">
      <c r="A65" s="8"/>
      <c r="B65" s="8"/>
      <c r="C65" s="8"/>
      <c r="D65" s="8"/>
      <c r="E65" s="8"/>
      <c r="F65" s="8"/>
      <c r="G65" s="29" t="s">
        <v>63</v>
      </c>
      <c r="H65" s="8"/>
      <c r="I65" s="8">
        <v>2506.79</v>
      </c>
      <c r="J65" s="243"/>
      <c r="K65" s="243">
        <v>2840</v>
      </c>
      <c r="L65" s="243">
        <v>2840</v>
      </c>
      <c r="M65" s="243">
        <v>3200</v>
      </c>
      <c r="N65" s="243">
        <v>2500</v>
      </c>
      <c r="O65" s="290">
        <f t="shared" si="24"/>
        <v>-0.21875</v>
      </c>
      <c r="P65" s="243">
        <f t="shared" si="25"/>
        <v>-700</v>
      </c>
      <c r="Q65" s="243">
        <f t="shared" si="26"/>
        <v>2500</v>
      </c>
      <c r="R65" s="243"/>
      <c r="S65" s="243"/>
      <c r="T65" s="243"/>
      <c r="U65" s="243"/>
      <c r="V65" s="243"/>
      <c r="W65" s="243"/>
    </row>
    <row r="66" spans="1:23" hidden="1" x14ac:dyDescent="0.35">
      <c r="A66" s="8"/>
      <c r="B66" s="8"/>
      <c r="C66" s="8"/>
      <c r="D66" s="8"/>
      <c r="E66" s="8"/>
      <c r="F66" s="8"/>
      <c r="G66" s="29" t="s">
        <v>64</v>
      </c>
      <c r="H66" s="8"/>
      <c r="I66" s="8">
        <v>1574</v>
      </c>
      <c r="J66" s="243"/>
      <c r="K66" s="243">
        <v>2000</v>
      </c>
      <c r="L66" s="243">
        <v>3000</v>
      </c>
      <c r="M66" s="243">
        <v>5000</v>
      </c>
      <c r="N66" s="243">
        <v>6000</v>
      </c>
      <c r="O66" s="290">
        <f t="shared" si="24"/>
        <v>0.19999999999999996</v>
      </c>
      <c r="P66" s="243">
        <f t="shared" si="25"/>
        <v>1000</v>
      </c>
      <c r="Q66" s="243">
        <f t="shared" si="26"/>
        <v>6000</v>
      </c>
      <c r="R66" s="243"/>
      <c r="S66" s="243"/>
      <c r="T66" s="243"/>
      <c r="U66" s="243"/>
      <c r="V66" s="243"/>
      <c r="W66" s="243"/>
    </row>
    <row r="67" spans="1:23" hidden="1" x14ac:dyDescent="0.35">
      <c r="A67" s="8"/>
      <c r="B67" s="8"/>
      <c r="C67" s="8"/>
      <c r="D67" s="8"/>
      <c r="E67" s="8"/>
      <c r="F67" s="8"/>
      <c r="G67" s="8" t="s">
        <v>65</v>
      </c>
      <c r="H67" s="8"/>
      <c r="I67" s="8">
        <v>967.4</v>
      </c>
      <c r="J67" s="243"/>
      <c r="K67" s="243">
        <v>2000</v>
      </c>
      <c r="L67" s="243">
        <v>2000</v>
      </c>
      <c r="M67" s="243">
        <v>100</v>
      </c>
      <c r="N67" s="243">
        <v>300</v>
      </c>
      <c r="O67" s="290">
        <f t="shared" si="24"/>
        <v>2</v>
      </c>
      <c r="P67" s="243">
        <f t="shared" si="25"/>
        <v>200</v>
      </c>
      <c r="Q67" s="243">
        <f t="shared" si="26"/>
        <v>300</v>
      </c>
      <c r="R67" s="243"/>
      <c r="S67" s="243"/>
      <c r="T67" s="243"/>
      <c r="U67" s="243"/>
      <c r="V67" s="243"/>
      <c r="W67" s="243"/>
    </row>
    <row r="68" spans="1:23" hidden="1" x14ac:dyDescent="0.35">
      <c r="A68" s="8"/>
      <c r="B68" s="8"/>
      <c r="C68" s="8"/>
      <c r="D68" s="8"/>
      <c r="E68" s="8"/>
      <c r="F68" s="8"/>
      <c r="G68" s="8" t="s">
        <v>159</v>
      </c>
      <c r="H68" s="8"/>
      <c r="I68" s="8"/>
      <c r="J68" s="243"/>
      <c r="K68" s="243">
        <v>150</v>
      </c>
      <c r="L68" s="249">
        <v>160</v>
      </c>
      <c r="M68" s="249"/>
      <c r="N68" s="249"/>
      <c r="O68" s="290"/>
      <c r="P68" s="243">
        <f t="shared" si="25"/>
        <v>0</v>
      </c>
      <c r="Q68" s="243">
        <f t="shared" si="26"/>
        <v>0</v>
      </c>
      <c r="R68" s="243"/>
      <c r="S68" s="243"/>
      <c r="T68" s="243"/>
      <c r="U68" s="243"/>
      <c r="V68" s="243"/>
      <c r="W68" s="243"/>
    </row>
    <row r="69" spans="1:23" ht="24.5" hidden="1" x14ac:dyDescent="0.35">
      <c r="A69" s="8"/>
      <c r="B69" s="8"/>
      <c r="C69" s="8"/>
      <c r="D69" s="8"/>
      <c r="E69" s="8"/>
      <c r="F69" s="8"/>
      <c r="G69" s="28" t="s">
        <v>79</v>
      </c>
      <c r="H69" s="8"/>
      <c r="I69" s="8"/>
      <c r="J69" s="243"/>
      <c r="K69" s="243">
        <v>550000</v>
      </c>
      <c r="L69" s="249">
        <v>623000</v>
      </c>
      <c r="M69" s="264">
        <v>645000</v>
      </c>
      <c r="N69" s="264">
        <v>980000</v>
      </c>
      <c r="O69" s="290">
        <f t="shared" ref="O69" si="27">N69/M69*1-1</f>
        <v>0.51937984496124034</v>
      </c>
      <c r="P69" s="243">
        <f t="shared" si="25"/>
        <v>335000</v>
      </c>
      <c r="Q69" s="243">
        <f t="shared" si="26"/>
        <v>980000</v>
      </c>
      <c r="R69" s="243"/>
      <c r="S69" s="243"/>
      <c r="T69" s="243"/>
      <c r="U69" s="243"/>
      <c r="V69" s="243"/>
      <c r="W69" s="243"/>
    </row>
    <row r="70" spans="1:23" ht="39" customHeight="1" x14ac:dyDescent="0.35">
      <c r="A70" s="339" t="s">
        <v>352</v>
      </c>
      <c r="B70" s="340"/>
      <c r="C70" s="340"/>
      <c r="D70" s="340"/>
      <c r="E70" s="340"/>
      <c r="F70" s="340"/>
      <c r="G70" s="341"/>
      <c r="H70" s="42" t="e">
        <f>SUM(H6,#REF!)</f>
        <v>#REF!</v>
      </c>
      <c r="I70" s="42"/>
      <c r="J70" s="265">
        <f>SUM(J6,J49)</f>
        <v>16758000</v>
      </c>
      <c r="K70" s="265">
        <f t="shared" ref="K70:N70" si="28">SUM(K6,K49)</f>
        <v>17244350</v>
      </c>
      <c r="L70" s="265">
        <f t="shared" si="28"/>
        <v>18003300</v>
      </c>
      <c r="M70" s="265">
        <f>SUM(M6,M49)</f>
        <v>17803500</v>
      </c>
      <c r="N70" s="265">
        <f t="shared" si="28"/>
        <v>20430700</v>
      </c>
      <c r="O70" s="295">
        <f>N70/M70*1-1</f>
        <v>0.14756648973516451</v>
      </c>
      <c r="P70" s="265">
        <f>N70-M70</f>
        <v>2627200</v>
      </c>
      <c r="Q70" s="265">
        <f t="shared" ref="Q70:W70" si="29">SUM(Q6,Q49)</f>
        <v>19289700</v>
      </c>
      <c r="R70" s="265">
        <f t="shared" si="29"/>
        <v>0</v>
      </c>
      <c r="S70" s="265">
        <f t="shared" si="29"/>
        <v>91000</v>
      </c>
      <c r="T70" s="265">
        <f t="shared" si="29"/>
        <v>1050000</v>
      </c>
      <c r="U70" s="265">
        <f t="shared" si="29"/>
        <v>0</v>
      </c>
      <c r="V70" s="265">
        <f t="shared" si="29"/>
        <v>0</v>
      </c>
      <c r="W70" s="265">
        <f t="shared" si="29"/>
        <v>0</v>
      </c>
    </row>
    <row r="71" spans="1:23" x14ac:dyDescent="0.35">
      <c r="A71" s="9" t="s">
        <v>307</v>
      </c>
      <c r="B71" s="8"/>
      <c r="C71" s="8"/>
      <c r="D71" s="8"/>
      <c r="E71" s="8"/>
      <c r="F71" s="8"/>
      <c r="G71" s="29" t="s">
        <v>59</v>
      </c>
      <c r="H71" s="46"/>
      <c r="I71" s="8">
        <v>24732.26</v>
      </c>
      <c r="J71" s="263">
        <v>40000</v>
      </c>
      <c r="K71" s="249">
        <v>26000</v>
      </c>
      <c r="L71" s="249">
        <v>22000</v>
      </c>
      <c r="M71" s="249">
        <v>22000</v>
      </c>
      <c r="N71" s="249">
        <v>22000</v>
      </c>
      <c r="O71" s="290">
        <f t="shared" ref="O71:O73" si="30">N71/M71*1-1</f>
        <v>0</v>
      </c>
      <c r="P71" s="243">
        <f t="shared" ref="P71:P73" si="31">N71-M71</f>
        <v>0</v>
      </c>
      <c r="Q71" s="249"/>
      <c r="R71" s="249"/>
      <c r="S71" s="249"/>
      <c r="T71" s="249"/>
      <c r="U71" s="249">
        <f t="shared" ref="U71:U73" si="32">SUM(N71)</f>
        <v>22000</v>
      </c>
      <c r="V71" s="249"/>
      <c r="W71" s="249"/>
    </row>
    <row r="72" spans="1:23" x14ac:dyDescent="0.35">
      <c r="A72" s="9" t="s">
        <v>308</v>
      </c>
      <c r="B72" s="8"/>
      <c r="C72" s="8"/>
      <c r="D72" s="8"/>
      <c r="E72" s="8"/>
      <c r="F72" s="8"/>
      <c r="G72" s="29" t="s">
        <v>67</v>
      </c>
      <c r="H72" s="46"/>
      <c r="I72" s="8">
        <v>5732.71</v>
      </c>
      <c r="J72" s="249"/>
      <c r="K72" s="249">
        <v>12200</v>
      </c>
      <c r="L72" s="249">
        <v>14200</v>
      </c>
      <c r="M72" s="249">
        <v>14200</v>
      </c>
      <c r="N72" s="249">
        <v>14200</v>
      </c>
      <c r="O72" s="290">
        <f t="shared" si="30"/>
        <v>0</v>
      </c>
      <c r="P72" s="243">
        <f t="shared" si="31"/>
        <v>0</v>
      </c>
      <c r="Q72" s="249"/>
      <c r="R72" s="249"/>
      <c r="S72" s="249"/>
      <c r="T72" s="249"/>
      <c r="U72" s="249">
        <f t="shared" si="32"/>
        <v>14200</v>
      </c>
      <c r="V72" s="249"/>
      <c r="W72" s="249"/>
    </row>
    <row r="73" spans="1:23" x14ac:dyDescent="0.35">
      <c r="A73" s="9" t="s">
        <v>309</v>
      </c>
      <c r="B73" s="8"/>
      <c r="C73" s="8"/>
      <c r="D73" s="8"/>
      <c r="E73" s="8"/>
      <c r="F73" s="8"/>
      <c r="G73" s="29" t="s">
        <v>60</v>
      </c>
      <c r="H73" s="46"/>
      <c r="I73" s="8">
        <v>874.29</v>
      </c>
      <c r="J73" s="249"/>
      <c r="K73" s="249">
        <v>800</v>
      </c>
      <c r="L73" s="249">
        <v>800</v>
      </c>
      <c r="M73" s="249">
        <v>800</v>
      </c>
      <c r="N73" s="249">
        <v>800</v>
      </c>
      <c r="O73" s="290">
        <f t="shared" si="30"/>
        <v>0</v>
      </c>
      <c r="P73" s="243">
        <f t="shared" si="31"/>
        <v>0</v>
      </c>
      <c r="Q73" s="249"/>
      <c r="R73" s="249"/>
      <c r="S73" s="249"/>
      <c r="T73" s="249"/>
      <c r="U73" s="249">
        <f t="shared" si="32"/>
        <v>800</v>
      </c>
      <c r="V73" s="249"/>
      <c r="W73" s="249"/>
    </row>
    <row r="74" spans="1:23" hidden="1" x14ac:dyDescent="0.35">
      <c r="A74" s="9" t="s">
        <v>310</v>
      </c>
      <c r="B74" s="8"/>
      <c r="C74" s="8"/>
      <c r="D74" s="8"/>
      <c r="E74" s="8"/>
      <c r="F74" s="8"/>
      <c r="G74" s="29" t="s">
        <v>61</v>
      </c>
      <c r="H74" s="46"/>
      <c r="I74" s="8">
        <v>5868</v>
      </c>
      <c r="J74" s="249"/>
      <c r="K74" s="249"/>
      <c r="L74" s="249"/>
      <c r="M74" s="249"/>
      <c r="N74" s="263">
        <v>0</v>
      </c>
      <c r="O74" s="290"/>
      <c r="P74" s="243"/>
      <c r="Q74" s="249"/>
      <c r="R74" s="249"/>
      <c r="S74" s="249"/>
      <c r="T74" s="249"/>
      <c r="U74" s="249"/>
      <c r="V74" s="249"/>
      <c r="W74" s="249"/>
    </row>
    <row r="75" spans="1:23" s="107" customFormat="1" ht="39" customHeight="1" x14ac:dyDescent="0.35">
      <c r="A75" s="329" t="s">
        <v>306</v>
      </c>
      <c r="B75" s="330"/>
      <c r="C75" s="330"/>
      <c r="D75" s="330"/>
      <c r="E75" s="330"/>
      <c r="F75" s="330"/>
      <c r="G75" s="331"/>
      <c r="H75" s="216"/>
      <c r="I75" s="216"/>
      <c r="J75" s="266">
        <f>SUM(J71:J74)</f>
        <v>40000</v>
      </c>
      <c r="K75" s="266">
        <f t="shared" ref="K75:W75" si="33">SUM(K71:K74)</f>
        <v>39000</v>
      </c>
      <c r="L75" s="266">
        <f t="shared" si="33"/>
        <v>37000</v>
      </c>
      <c r="M75" s="266">
        <f t="shared" si="33"/>
        <v>37000</v>
      </c>
      <c r="N75" s="266">
        <f t="shared" si="33"/>
        <v>37000</v>
      </c>
      <c r="O75" s="296">
        <f t="shared" ref="O75:O84" si="34">N75/M75*1-1</f>
        <v>0</v>
      </c>
      <c r="P75" s="266">
        <f t="shared" si="33"/>
        <v>0</v>
      </c>
      <c r="Q75" s="266">
        <f t="shared" si="33"/>
        <v>0</v>
      </c>
      <c r="R75" s="266">
        <f t="shared" si="33"/>
        <v>0</v>
      </c>
      <c r="S75" s="266">
        <f t="shared" si="33"/>
        <v>0</v>
      </c>
      <c r="T75" s="266">
        <f t="shared" si="33"/>
        <v>0</v>
      </c>
      <c r="U75" s="266">
        <f t="shared" si="33"/>
        <v>37000</v>
      </c>
      <c r="V75" s="266">
        <f t="shared" si="33"/>
        <v>0</v>
      </c>
      <c r="W75" s="266">
        <f t="shared" si="33"/>
        <v>0</v>
      </c>
    </row>
    <row r="76" spans="1:23" ht="23.25" customHeight="1" x14ac:dyDescent="0.35">
      <c r="A76" s="8" t="s">
        <v>311</v>
      </c>
      <c r="B76" s="3"/>
      <c r="C76" s="3"/>
      <c r="D76" s="3"/>
      <c r="E76" s="3"/>
      <c r="F76" s="3"/>
      <c r="G76" s="28" t="s">
        <v>320</v>
      </c>
      <c r="H76" s="33">
        <v>963700</v>
      </c>
      <c r="I76" s="3"/>
      <c r="J76" s="267">
        <v>988792</v>
      </c>
      <c r="K76" s="267">
        <v>1118202</v>
      </c>
      <c r="L76" s="267">
        <v>1490326</v>
      </c>
      <c r="M76" s="267">
        <v>1642778</v>
      </c>
      <c r="N76" s="267">
        <v>1978837</v>
      </c>
      <c r="O76" s="290">
        <f t="shared" si="34"/>
        <v>0.20456750699120629</v>
      </c>
      <c r="P76" s="243">
        <f t="shared" ref="P76:P80" si="35">N76-M76</f>
        <v>336059</v>
      </c>
      <c r="Q76" s="267"/>
      <c r="R76" s="267"/>
      <c r="S76" s="267"/>
      <c r="T76" s="267"/>
      <c r="U76" s="267"/>
      <c r="V76" s="267">
        <f>SUM(N76)</f>
        <v>1978837</v>
      </c>
      <c r="W76" s="267"/>
    </row>
    <row r="77" spans="1:23" ht="28.4" customHeight="1" x14ac:dyDescent="0.35">
      <c r="A77" s="8" t="s">
        <v>312</v>
      </c>
      <c r="B77" s="3"/>
      <c r="C77" s="3"/>
      <c r="D77" s="3"/>
      <c r="E77" s="3"/>
      <c r="F77" s="3"/>
      <c r="G77" s="29" t="s">
        <v>385</v>
      </c>
      <c r="H77" s="13">
        <v>3905000</v>
      </c>
      <c r="I77" s="3"/>
      <c r="J77" s="268">
        <v>4053400</v>
      </c>
      <c r="K77" s="268">
        <v>4356200</v>
      </c>
      <c r="L77" s="268">
        <v>5010500</v>
      </c>
      <c r="M77" s="268">
        <v>5876900</v>
      </c>
      <c r="N77" s="268">
        <v>6973700</v>
      </c>
      <c r="O77" s="290">
        <f t="shared" si="34"/>
        <v>0.1866290050877164</v>
      </c>
      <c r="P77" s="243">
        <f t="shared" si="35"/>
        <v>1096800</v>
      </c>
      <c r="Q77" s="268"/>
      <c r="R77" s="268"/>
      <c r="S77" s="268"/>
      <c r="T77" s="268"/>
      <c r="U77" s="268"/>
      <c r="V77" s="267">
        <f t="shared" ref="V77:V101" si="36">SUM(N77)</f>
        <v>6973700</v>
      </c>
      <c r="W77" s="268"/>
    </row>
    <row r="78" spans="1:23" ht="30" customHeight="1" x14ac:dyDescent="0.35">
      <c r="A78" s="8" t="s">
        <v>313</v>
      </c>
      <c r="B78" s="3"/>
      <c r="C78" s="3"/>
      <c r="D78" s="3"/>
      <c r="E78" s="3"/>
      <c r="F78" s="3"/>
      <c r="G78" s="28" t="s">
        <v>321</v>
      </c>
      <c r="H78" s="13">
        <v>29200</v>
      </c>
      <c r="I78" s="3"/>
      <c r="J78" s="268">
        <v>27900</v>
      </c>
      <c r="K78" s="268">
        <v>24300</v>
      </c>
      <c r="L78" s="268">
        <v>22900</v>
      </c>
      <c r="M78" s="268">
        <v>27600</v>
      </c>
      <c r="N78" s="268">
        <v>34100</v>
      </c>
      <c r="O78" s="290">
        <f t="shared" si="34"/>
        <v>0.23550724637681153</v>
      </c>
      <c r="P78" s="243">
        <f t="shared" si="35"/>
        <v>6500</v>
      </c>
      <c r="Q78" s="268"/>
      <c r="R78" s="268"/>
      <c r="S78" s="268"/>
      <c r="T78" s="268"/>
      <c r="U78" s="268"/>
      <c r="V78" s="267">
        <f t="shared" si="36"/>
        <v>34100</v>
      </c>
      <c r="W78" s="268"/>
    </row>
    <row r="79" spans="1:23" ht="30" hidden="1" customHeight="1" x14ac:dyDescent="0.35">
      <c r="A79" s="8" t="s">
        <v>314</v>
      </c>
      <c r="B79" s="3"/>
      <c r="C79" s="3"/>
      <c r="D79" s="3"/>
      <c r="E79" s="3"/>
      <c r="F79" s="3"/>
      <c r="G79" s="217" t="s">
        <v>348</v>
      </c>
      <c r="H79" s="13"/>
      <c r="I79" s="3"/>
      <c r="J79" s="268">
        <v>13623</v>
      </c>
      <c r="K79" s="268"/>
      <c r="L79" s="268">
        <v>18500</v>
      </c>
      <c r="M79" s="268"/>
      <c r="N79" s="268"/>
      <c r="O79" s="297" t="e">
        <f t="shared" si="34"/>
        <v>#DIV/0!</v>
      </c>
      <c r="P79" s="243">
        <f t="shared" si="35"/>
        <v>0</v>
      </c>
      <c r="Q79" s="268"/>
      <c r="R79" s="268"/>
      <c r="S79" s="268"/>
      <c r="T79" s="268"/>
      <c r="U79" s="268"/>
      <c r="V79" s="267">
        <f t="shared" si="36"/>
        <v>0</v>
      </c>
      <c r="W79" s="268"/>
    </row>
    <row r="80" spans="1:23" ht="30" hidden="1" customHeight="1" x14ac:dyDescent="0.35">
      <c r="A80" s="8" t="s">
        <v>315</v>
      </c>
      <c r="B80" s="3"/>
      <c r="C80" s="3"/>
      <c r="D80" s="3"/>
      <c r="E80" s="3"/>
      <c r="F80" s="3"/>
      <c r="G80" s="28" t="s">
        <v>322</v>
      </c>
      <c r="H80" s="13"/>
      <c r="I80" s="3"/>
      <c r="J80" s="268">
        <v>431200</v>
      </c>
      <c r="K80" s="268">
        <v>663856</v>
      </c>
      <c r="L80" s="268">
        <v>334645</v>
      </c>
      <c r="M80" s="268"/>
      <c r="N80" s="268"/>
      <c r="O80" s="297" t="e">
        <f t="shared" si="34"/>
        <v>#DIV/0!</v>
      </c>
      <c r="P80" s="243">
        <f t="shared" si="35"/>
        <v>0</v>
      </c>
      <c r="Q80" s="268"/>
      <c r="R80" s="268"/>
      <c r="S80" s="268"/>
      <c r="T80" s="268"/>
      <c r="U80" s="268"/>
      <c r="V80" s="267">
        <f t="shared" si="36"/>
        <v>0</v>
      </c>
      <c r="W80" s="268"/>
    </row>
    <row r="81" spans="1:23" ht="27.75" hidden="1" customHeight="1" x14ac:dyDescent="0.35">
      <c r="A81" s="8" t="s">
        <v>316</v>
      </c>
      <c r="B81" s="3"/>
      <c r="C81" s="3"/>
      <c r="D81" s="3"/>
      <c r="E81" s="3"/>
      <c r="F81" s="3"/>
      <c r="G81" s="28" t="s">
        <v>323</v>
      </c>
      <c r="H81" s="13"/>
      <c r="I81" s="3"/>
      <c r="J81" s="268"/>
      <c r="K81" s="268"/>
      <c r="L81" s="268"/>
      <c r="M81" s="268"/>
      <c r="N81" s="268"/>
      <c r="O81" s="297" t="e">
        <f t="shared" si="34"/>
        <v>#DIV/0!</v>
      </c>
      <c r="P81" s="269">
        <f t="shared" ref="P81:P82" si="37">N81-L81</f>
        <v>0</v>
      </c>
      <c r="Q81" s="268"/>
      <c r="R81" s="268"/>
      <c r="S81" s="268"/>
      <c r="T81" s="268"/>
      <c r="U81" s="268"/>
      <c r="V81" s="267">
        <f t="shared" si="36"/>
        <v>0</v>
      </c>
      <c r="W81" s="268"/>
    </row>
    <row r="82" spans="1:23" hidden="1" x14ac:dyDescent="0.35">
      <c r="A82" s="8" t="s">
        <v>317</v>
      </c>
      <c r="B82" s="3"/>
      <c r="C82" s="3"/>
      <c r="D82" s="3"/>
      <c r="E82" s="3"/>
      <c r="F82" s="3"/>
      <c r="G82" s="28" t="s">
        <v>324</v>
      </c>
      <c r="H82" s="13"/>
      <c r="I82" s="3"/>
      <c r="J82" s="268"/>
      <c r="K82" s="268"/>
      <c r="L82" s="268"/>
      <c r="M82" s="268"/>
      <c r="N82" s="268"/>
      <c r="O82" s="297" t="e">
        <f t="shared" si="34"/>
        <v>#DIV/0!</v>
      </c>
      <c r="P82" s="269">
        <f t="shared" si="37"/>
        <v>0</v>
      </c>
      <c r="Q82" s="268"/>
      <c r="R82" s="268"/>
      <c r="S82" s="268"/>
      <c r="T82" s="268"/>
      <c r="U82" s="268"/>
      <c r="V82" s="267">
        <f t="shared" si="36"/>
        <v>0</v>
      </c>
      <c r="W82" s="268"/>
    </row>
    <row r="83" spans="1:23" hidden="1" x14ac:dyDescent="0.35">
      <c r="A83" s="8" t="s">
        <v>318</v>
      </c>
      <c r="B83" s="3"/>
      <c r="C83" s="3"/>
      <c r="D83" s="3"/>
      <c r="E83" s="3"/>
      <c r="F83" s="3"/>
      <c r="G83" s="28" t="s">
        <v>325</v>
      </c>
      <c r="H83" s="13"/>
      <c r="I83" s="3"/>
      <c r="J83" s="268"/>
      <c r="K83" s="268"/>
      <c r="L83" s="268">
        <v>615000</v>
      </c>
      <c r="M83" s="268"/>
      <c r="N83" s="268"/>
      <c r="O83" s="297" t="e">
        <f t="shared" si="34"/>
        <v>#DIV/0!</v>
      </c>
      <c r="P83" s="243">
        <f t="shared" ref="P83:P84" si="38">N83-M83</f>
        <v>0</v>
      </c>
      <c r="Q83" s="268"/>
      <c r="R83" s="268"/>
      <c r="S83" s="268"/>
      <c r="T83" s="268"/>
      <c r="U83" s="268"/>
      <c r="V83" s="267">
        <f t="shared" si="36"/>
        <v>0</v>
      </c>
      <c r="W83" s="268"/>
    </row>
    <row r="84" spans="1:23" ht="24.5" hidden="1" x14ac:dyDescent="0.35">
      <c r="A84" s="8" t="s">
        <v>319</v>
      </c>
      <c r="B84" s="3"/>
      <c r="C84" s="3"/>
      <c r="D84" s="3"/>
      <c r="E84" s="3"/>
      <c r="F84" s="3"/>
      <c r="G84" s="28" t="s">
        <v>326</v>
      </c>
      <c r="H84" s="13"/>
      <c r="I84" s="3"/>
      <c r="J84" s="268"/>
      <c r="K84" s="268"/>
      <c r="L84" s="268">
        <v>232000</v>
      </c>
      <c r="M84" s="268"/>
      <c r="N84" s="268"/>
      <c r="O84" s="297" t="e">
        <f t="shared" si="34"/>
        <v>#DIV/0!</v>
      </c>
      <c r="P84" s="243">
        <f t="shared" si="38"/>
        <v>0</v>
      </c>
      <c r="Q84" s="268"/>
      <c r="R84" s="268"/>
      <c r="S84" s="268"/>
      <c r="T84" s="268"/>
      <c r="U84" s="268"/>
      <c r="V84" s="267">
        <f t="shared" si="36"/>
        <v>0</v>
      </c>
      <c r="W84" s="268"/>
    </row>
    <row r="85" spans="1:23" s="219" customFormat="1" ht="24.75" customHeight="1" x14ac:dyDescent="0.35">
      <c r="A85" s="332" t="s">
        <v>353</v>
      </c>
      <c r="B85" s="333"/>
      <c r="C85" s="333"/>
      <c r="D85" s="333"/>
      <c r="E85" s="333"/>
      <c r="F85" s="333"/>
      <c r="G85" s="334"/>
      <c r="H85" s="218">
        <f>SUM(H86:H94)</f>
        <v>43800</v>
      </c>
      <c r="I85" s="218"/>
      <c r="J85" s="270">
        <f>SUM(J76:J84)</f>
        <v>5514915</v>
      </c>
      <c r="K85" s="270">
        <f t="shared" ref="K85:M85" si="39">SUM(K76:K84)</f>
        <v>6162558</v>
      </c>
      <c r="L85" s="270">
        <f t="shared" si="39"/>
        <v>7723871</v>
      </c>
      <c r="M85" s="270">
        <f t="shared" si="39"/>
        <v>7547278</v>
      </c>
      <c r="N85" s="270">
        <f>SUM(N76:N84)</f>
        <v>8986637</v>
      </c>
      <c r="O85" s="298">
        <f t="shared" ref="O85:O101" si="40">N85/M85*1-1</f>
        <v>0.19071233363869733</v>
      </c>
      <c r="P85" s="270">
        <f>SUM(P76:P84)</f>
        <v>1439359</v>
      </c>
      <c r="Q85" s="270">
        <f t="shared" ref="Q85:W85" si="41">SUM(Q76:Q84)</f>
        <v>0</v>
      </c>
      <c r="R85" s="270">
        <f t="shared" si="41"/>
        <v>0</v>
      </c>
      <c r="S85" s="270">
        <f t="shared" si="41"/>
        <v>0</v>
      </c>
      <c r="T85" s="270">
        <f t="shared" si="41"/>
        <v>0</v>
      </c>
      <c r="U85" s="270">
        <f t="shared" si="41"/>
        <v>0</v>
      </c>
      <c r="V85" s="270">
        <f t="shared" si="41"/>
        <v>8986637</v>
      </c>
      <c r="W85" s="270">
        <f t="shared" si="41"/>
        <v>0</v>
      </c>
    </row>
    <row r="86" spans="1:23" ht="50.15" customHeight="1" x14ac:dyDescent="0.35">
      <c r="A86" s="69" t="s">
        <v>327</v>
      </c>
      <c r="B86" s="17"/>
      <c r="C86" s="17"/>
      <c r="D86" s="17"/>
      <c r="E86" s="17"/>
      <c r="F86" s="17"/>
      <c r="G86" s="28" t="s">
        <v>341</v>
      </c>
      <c r="H86" s="105">
        <v>43800</v>
      </c>
      <c r="I86" s="69"/>
      <c r="J86" s="271"/>
      <c r="K86" s="271">
        <v>49700</v>
      </c>
      <c r="L86" s="271">
        <v>53100</v>
      </c>
      <c r="M86" s="271">
        <v>97800</v>
      </c>
      <c r="N86" s="272">
        <v>109500</v>
      </c>
      <c r="O86" s="290">
        <f t="shared" si="40"/>
        <v>0.11963190184049077</v>
      </c>
      <c r="P86" s="243">
        <f t="shared" ref="P86:P101" si="42">N86-M86</f>
        <v>11700</v>
      </c>
      <c r="Q86" s="273"/>
      <c r="R86" s="273"/>
      <c r="S86" s="273"/>
      <c r="T86" s="273"/>
      <c r="U86" s="273"/>
      <c r="V86" s="267">
        <f t="shared" si="36"/>
        <v>109500</v>
      </c>
      <c r="W86" s="273"/>
    </row>
    <row r="87" spans="1:23" ht="66.650000000000006" customHeight="1" x14ac:dyDescent="0.35">
      <c r="A87" s="69" t="s">
        <v>328</v>
      </c>
      <c r="B87" s="17"/>
      <c r="C87" s="17"/>
      <c r="D87" s="17"/>
      <c r="E87" s="17"/>
      <c r="F87" s="17"/>
      <c r="G87" s="28" t="s">
        <v>390</v>
      </c>
      <c r="H87" s="105"/>
      <c r="I87" s="69"/>
      <c r="J87" s="271"/>
      <c r="K87" s="271"/>
      <c r="L87" s="271"/>
      <c r="M87" s="271"/>
      <c r="N87" s="272">
        <v>199000</v>
      </c>
      <c r="O87" s="290"/>
      <c r="P87" s="243">
        <f t="shared" si="42"/>
        <v>199000</v>
      </c>
      <c r="Q87" s="273"/>
      <c r="R87" s="273"/>
      <c r="S87" s="273"/>
      <c r="T87" s="273"/>
      <c r="U87" s="273"/>
      <c r="V87" s="267">
        <f t="shared" si="36"/>
        <v>199000</v>
      </c>
      <c r="W87" s="273"/>
    </row>
    <row r="88" spans="1:23" ht="37" customHeight="1" x14ac:dyDescent="0.35">
      <c r="A88" s="69" t="s">
        <v>329</v>
      </c>
      <c r="B88" s="9"/>
      <c r="C88" s="9"/>
      <c r="D88" s="9"/>
      <c r="E88" s="9"/>
      <c r="F88" s="9"/>
      <c r="G88" s="28" t="s">
        <v>340</v>
      </c>
      <c r="H88" s="105"/>
      <c r="I88" s="105"/>
      <c r="J88" s="271"/>
      <c r="K88" s="271"/>
      <c r="L88" s="271"/>
      <c r="M88" s="271">
        <v>56600</v>
      </c>
      <c r="N88" s="271">
        <v>0</v>
      </c>
      <c r="O88" s="290">
        <f t="shared" si="40"/>
        <v>-1</v>
      </c>
      <c r="P88" s="243">
        <f t="shared" si="42"/>
        <v>-56600</v>
      </c>
      <c r="Q88" s="273"/>
      <c r="R88" s="273"/>
      <c r="S88" s="273"/>
      <c r="T88" s="273"/>
      <c r="U88" s="273"/>
      <c r="V88" s="267">
        <f t="shared" si="36"/>
        <v>0</v>
      </c>
      <c r="W88" s="273"/>
    </row>
    <row r="89" spans="1:23" ht="37" customHeight="1" x14ac:dyDescent="0.35">
      <c r="A89" s="69"/>
      <c r="B89" s="9"/>
      <c r="C89" s="9"/>
      <c r="D89" s="9"/>
      <c r="E89" s="9"/>
      <c r="F89" s="9"/>
      <c r="G89" s="28" t="s">
        <v>387</v>
      </c>
      <c r="H89" s="105"/>
      <c r="I89" s="105"/>
      <c r="J89" s="271"/>
      <c r="K89" s="271"/>
      <c r="L89" s="271"/>
      <c r="M89" s="271">
        <v>7536</v>
      </c>
      <c r="N89" s="271"/>
      <c r="O89" s="290"/>
      <c r="P89" s="243"/>
      <c r="Q89" s="273"/>
      <c r="R89" s="273"/>
      <c r="S89" s="273"/>
      <c r="T89" s="273"/>
      <c r="U89" s="273"/>
      <c r="V89" s="267"/>
      <c r="W89" s="273"/>
    </row>
    <row r="90" spans="1:23" ht="40.4" customHeight="1" x14ac:dyDescent="0.35">
      <c r="A90" s="69" t="s">
        <v>330</v>
      </c>
      <c r="B90" s="9"/>
      <c r="C90" s="9"/>
      <c r="D90" s="9"/>
      <c r="E90" s="9"/>
      <c r="F90" s="9"/>
      <c r="G90" s="28" t="s">
        <v>349</v>
      </c>
      <c r="H90" s="105"/>
      <c r="I90" s="105"/>
      <c r="J90" s="271"/>
      <c r="K90" s="271"/>
      <c r="L90" s="271">
        <v>845700</v>
      </c>
      <c r="M90" s="271">
        <v>845700</v>
      </c>
      <c r="N90" s="272">
        <v>1235700</v>
      </c>
      <c r="O90" s="290">
        <f t="shared" si="40"/>
        <v>0.46115643845335219</v>
      </c>
      <c r="P90" s="243">
        <f t="shared" si="42"/>
        <v>390000</v>
      </c>
      <c r="Q90" s="273"/>
      <c r="R90" s="273"/>
      <c r="S90" s="273"/>
      <c r="T90" s="273"/>
      <c r="U90" s="273"/>
      <c r="V90" s="267">
        <f t="shared" si="36"/>
        <v>1235700</v>
      </c>
      <c r="W90" s="273"/>
    </row>
    <row r="91" spans="1:23" ht="60.65" customHeight="1" x14ac:dyDescent="0.35">
      <c r="A91" s="69" t="s">
        <v>331</v>
      </c>
      <c r="B91" s="9"/>
      <c r="C91" s="9"/>
      <c r="D91" s="9"/>
      <c r="E91" s="9"/>
      <c r="F91" s="9"/>
      <c r="G91" s="28" t="s">
        <v>339</v>
      </c>
      <c r="H91" s="105"/>
      <c r="I91" s="105"/>
      <c r="J91" s="271"/>
      <c r="K91" s="271"/>
      <c r="L91" s="271"/>
      <c r="M91" s="271">
        <v>131274</v>
      </c>
      <c r="N91" s="271">
        <v>239586</v>
      </c>
      <c r="O91" s="290">
        <f t="shared" si="40"/>
        <v>0.82508341331870749</v>
      </c>
      <c r="P91" s="243">
        <f t="shared" si="42"/>
        <v>108312</v>
      </c>
      <c r="Q91" s="273"/>
      <c r="R91" s="273"/>
      <c r="S91" s="273"/>
      <c r="T91" s="273"/>
      <c r="U91" s="273"/>
      <c r="V91" s="267">
        <f t="shared" si="36"/>
        <v>239586</v>
      </c>
      <c r="W91" s="273"/>
    </row>
    <row r="92" spans="1:23" ht="40.4" customHeight="1" x14ac:dyDescent="0.35">
      <c r="A92" s="69" t="s">
        <v>332</v>
      </c>
      <c r="B92" s="9"/>
      <c r="C92" s="9"/>
      <c r="D92" s="9"/>
      <c r="E92" s="9"/>
      <c r="F92" s="9"/>
      <c r="G92" s="28" t="s">
        <v>342</v>
      </c>
      <c r="H92" s="105"/>
      <c r="I92" s="105"/>
      <c r="J92" s="271"/>
      <c r="K92" s="271"/>
      <c r="L92" s="271"/>
      <c r="M92" s="271">
        <v>21278</v>
      </c>
      <c r="N92" s="271">
        <v>22476</v>
      </c>
      <c r="O92" s="290">
        <f t="shared" si="40"/>
        <v>5.630228404925286E-2</v>
      </c>
      <c r="P92" s="243">
        <f t="shared" si="42"/>
        <v>1198</v>
      </c>
      <c r="Q92" s="273"/>
      <c r="R92" s="273"/>
      <c r="S92" s="273"/>
      <c r="T92" s="273"/>
      <c r="U92" s="273"/>
      <c r="V92" s="267">
        <f t="shared" si="36"/>
        <v>22476</v>
      </c>
      <c r="W92" s="273"/>
    </row>
    <row r="93" spans="1:23" ht="42" customHeight="1" x14ac:dyDescent="0.35">
      <c r="A93" s="69" t="s">
        <v>333</v>
      </c>
      <c r="B93" s="9"/>
      <c r="C93" s="9"/>
      <c r="D93" s="9"/>
      <c r="E93" s="9"/>
      <c r="F93" s="9"/>
      <c r="G93" s="28" t="s">
        <v>343</v>
      </c>
      <c r="H93" s="105"/>
      <c r="I93" s="105"/>
      <c r="J93" s="271"/>
      <c r="K93" s="271"/>
      <c r="L93" s="271"/>
      <c r="M93" s="271">
        <v>14000</v>
      </c>
      <c r="N93" s="271">
        <v>0</v>
      </c>
      <c r="O93" s="290">
        <f t="shared" si="40"/>
        <v>-1</v>
      </c>
      <c r="P93" s="243">
        <f t="shared" si="42"/>
        <v>-14000</v>
      </c>
      <c r="Q93" s="273"/>
      <c r="R93" s="273"/>
      <c r="S93" s="273"/>
      <c r="T93" s="273"/>
      <c r="U93" s="273"/>
      <c r="V93" s="267">
        <f t="shared" si="36"/>
        <v>0</v>
      </c>
      <c r="W93" s="273"/>
    </row>
    <row r="94" spans="1:23" ht="58" customHeight="1" x14ac:dyDescent="0.35">
      <c r="A94" s="69" t="s">
        <v>334</v>
      </c>
      <c r="B94" s="9"/>
      <c r="C94" s="9"/>
      <c r="D94" s="9"/>
      <c r="E94" s="9"/>
      <c r="F94" s="9"/>
      <c r="G94" s="28" t="s">
        <v>344</v>
      </c>
      <c r="H94" s="105"/>
      <c r="I94" s="105"/>
      <c r="J94" s="271"/>
      <c r="K94" s="271"/>
      <c r="L94" s="271"/>
      <c r="M94" s="271">
        <v>7500</v>
      </c>
      <c r="N94" s="272">
        <v>23400</v>
      </c>
      <c r="O94" s="290">
        <f t="shared" si="40"/>
        <v>2.12</v>
      </c>
      <c r="P94" s="243">
        <f t="shared" si="42"/>
        <v>15900</v>
      </c>
      <c r="Q94" s="273"/>
      <c r="R94" s="273"/>
      <c r="S94" s="273"/>
      <c r="T94" s="273"/>
      <c r="U94" s="273"/>
      <c r="V94" s="267">
        <f t="shared" si="36"/>
        <v>23400</v>
      </c>
      <c r="W94" s="273"/>
    </row>
    <row r="95" spans="1:23" ht="42.65" customHeight="1" x14ac:dyDescent="0.35">
      <c r="A95" s="69" t="s">
        <v>335</v>
      </c>
      <c r="B95" s="9"/>
      <c r="C95" s="9"/>
      <c r="D95" s="9"/>
      <c r="E95" s="9"/>
      <c r="F95" s="9"/>
      <c r="G95" s="28" t="s">
        <v>345</v>
      </c>
      <c r="H95" s="105"/>
      <c r="I95" s="105"/>
      <c r="J95" s="271"/>
      <c r="K95" s="271"/>
      <c r="L95" s="271"/>
      <c r="M95" s="271">
        <v>11000</v>
      </c>
      <c r="N95" s="272">
        <v>16739</v>
      </c>
      <c r="O95" s="290">
        <f t="shared" si="40"/>
        <v>0.52172727272727282</v>
      </c>
      <c r="P95" s="243">
        <f t="shared" si="42"/>
        <v>5739</v>
      </c>
      <c r="Q95" s="273"/>
      <c r="R95" s="273"/>
      <c r="S95" s="273"/>
      <c r="T95" s="273"/>
      <c r="U95" s="273"/>
      <c r="V95" s="267">
        <f t="shared" si="36"/>
        <v>16739</v>
      </c>
      <c r="W95" s="273"/>
    </row>
    <row r="96" spans="1:23" ht="60.65" customHeight="1" x14ac:dyDescent="0.35">
      <c r="A96" s="69" t="s">
        <v>336</v>
      </c>
      <c r="B96" s="9"/>
      <c r="C96" s="9"/>
      <c r="D96" s="9"/>
      <c r="E96" s="9"/>
      <c r="F96" s="9"/>
      <c r="G96" s="28" t="s">
        <v>351</v>
      </c>
      <c r="H96" s="105"/>
      <c r="I96" s="105"/>
      <c r="J96" s="271"/>
      <c r="K96" s="271"/>
      <c r="L96" s="271"/>
      <c r="M96" s="271"/>
      <c r="N96" s="271">
        <v>89000</v>
      </c>
      <c r="O96" s="297" t="e">
        <f t="shared" si="40"/>
        <v>#DIV/0!</v>
      </c>
      <c r="P96" s="243">
        <f t="shared" si="42"/>
        <v>89000</v>
      </c>
      <c r="Q96" s="273"/>
      <c r="R96" s="273"/>
      <c r="S96" s="273"/>
      <c r="T96" s="273"/>
      <c r="U96" s="273"/>
      <c r="V96" s="267">
        <f t="shared" si="36"/>
        <v>89000</v>
      </c>
      <c r="W96" s="273"/>
    </row>
    <row r="97" spans="1:23" ht="72" customHeight="1" x14ac:dyDescent="0.35">
      <c r="A97" s="69" t="s">
        <v>337</v>
      </c>
      <c r="B97" s="9"/>
      <c r="C97" s="9"/>
      <c r="D97" s="9"/>
      <c r="E97" s="9"/>
      <c r="F97" s="9"/>
      <c r="G97" s="28" t="s">
        <v>391</v>
      </c>
      <c r="H97" s="105"/>
      <c r="I97" s="105"/>
      <c r="J97" s="271"/>
      <c r="K97" s="271"/>
      <c r="L97" s="271"/>
      <c r="M97" s="271"/>
      <c r="N97" s="271">
        <v>155800</v>
      </c>
      <c r="O97" s="297" t="e">
        <f t="shared" si="40"/>
        <v>#DIV/0!</v>
      </c>
      <c r="P97" s="243">
        <f t="shared" si="42"/>
        <v>155800</v>
      </c>
      <c r="Q97" s="273"/>
      <c r="R97" s="273"/>
      <c r="S97" s="273"/>
      <c r="T97" s="273"/>
      <c r="U97" s="273"/>
      <c r="V97" s="267">
        <f t="shared" si="36"/>
        <v>155800</v>
      </c>
      <c r="W97" s="273"/>
    </row>
    <row r="98" spans="1:23" ht="42" customHeight="1" x14ac:dyDescent="0.35">
      <c r="A98" s="69" t="s">
        <v>338</v>
      </c>
      <c r="B98" s="9"/>
      <c r="C98" s="9"/>
      <c r="D98" s="9"/>
      <c r="E98" s="9"/>
      <c r="F98" s="9"/>
      <c r="G98" s="28" t="s">
        <v>383</v>
      </c>
      <c r="H98" s="105"/>
      <c r="I98" s="105"/>
      <c r="J98" s="271"/>
      <c r="K98" s="271"/>
      <c r="L98" s="271"/>
      <c r="M98" s="271"/>
      <c r="N98" s="271">
        <v>72188</v>
      </c>
      <c r="O98" s="297" t="e">
        <f t="shared" si="40"/>
        <v>#DIV/0!</v>
      </c>
      <c r="P98" s="243">
        <f t="shared" si="42"/>
        <v>72188</v>
      </c>
      <c r="Q98" s="273"/>
      <c r="R98" s="273"/>
      <c r="S98" s="273"/>
      <c r="T98" s="273"/>
      <c r="U98" s="273"/>
      <c r="V98" s="267">
        <f t="shared" si="36"/>
        <v>72188</v>
      </c>
      <c r="W98" s="273"/>
    </row>
    <row r="99" spans="1:23" ht="60" customHeight="1" x14ac:dyDescent="0.35">
      <c r="A99" s="69" t="s">
        <v>356</v>
      </c>
      <c r="B99" s="9"/>
      <c r="C99" s="9"/>
      <c r="D99" s="9"/>
      <c r="E99" s="9"/>
      <c r="F99" s="9"/>
      <c r="G99" s="28" t="s">
        <v>392</v>
      </c>
      <c r="H99" s="105"/>
      <c r="I99" s="105"/>
      <c r="J99" s="271"/>
      <c r="K99" s="271"/>
      <c r="L99" s="271"/>
      <c r="M99" s="271">
        <v>14950</v>
      </c>
      <c r="N99" s="271">
        <v>18489</v>
      </c>
      <c r="O99" s="290">
        <f t="shared" si="40"/>
        <v>0.23672240802675582</v>
      </c>
      <c r="P99" s="243">
        <f t="shared" si="42"/>
        <v>3539</v>
      </c>
      <c r="Q99" s="273"/>
      <c r="R99" s="273"/>
      <c r="S99" s="273"/>
      <c r="T99" s="273"/>
      <c r="U99" s="273"/>
      <c r="V99" s="267">
        <f t="shared" si="36"/>
        <v>18489</v>
      </c>
      <c r="W99" s="273"/>
    </row>
    <row r="100" spans="1:23" ht="43.5" customHeight="1" x14ac:dyDescent="0.35">
      <c r="A100" s="69" t="s">
        <v>357</v>
      </c>
      <c r="B100" s="9"/>
      <c r="C100" s="9"/>
      <c r="D100" s="9"/>
      <c r="E100" s="9"/>
      <c r="F100" s="9"/>
      <c r="G100" s="28" t="s">
        <v>346</v>
      </c>
      <c r="H100" s="105"/>
      <c r="I100" s="105"/>
      <c r="J100" s="271"/>
      <c r="K100" s="271"/>
      <c r="L100" s="271"/>
      <c r="M100" s="271">
        <v>1291198</v>
      </c>
      <c r="N100" s="271">
        <v>0</v>
      </c>
      <c r="O100" s="290">
        <f t="shared" si="40"/>
        <v>-1</v>
      </c>
      <c r="P100" s="243">
        <f t="shared" si="42"/>
        <v>-1291198</v>
      </c>
      <c r="Q100" s="273"/>
      <c r="R100" s="273"/>
      <c r="S100" s="273"/>
      <c r="T100" s="273"/>
      <c r="U100" s="273"/>
      <c r="V100" s="267">
        <f t="shared" si="36"/>
        <v>0</v>
      </c>
      <c r="W100" s="273"/>
    </row>
    <row r="101" spans="1:23" ht="23.5" customHeight="1" x14ac:dyDescent="0.35">
      <c r="A101" s="69" t="s">
        <v>382</v>
      </c>
      <c r="B101" s="3"/>
      <c r="C101" s="3"/>
      <c r="D101" s="3"/>
      <c r="E101" s="3"/>
      <c r="F101" s="3"/>
      <c r="G101" s="29" t="s">
        <v>347</v>
      </c>
      <c r="H101" s="105"/>
      <c r="I101" s="105"/>
      <c r="J101" s="271"/>
      <c r="K101" s="271"/>
      <c r="L101" s="271"/>
      <c r="M101" s="271"/>
      <c r="N101" s="271"/>
      <c r="O101" s="297" t="e">
        <f t="shared" si="40"/>
        <v>#DIV/0!</v>
      </c>
      <c r="P101" s="243">
        <f t="shared" si="42"/>
        <v>0</v>
      </c>
      <c r="Q101" s="268"/>
      <c r="R101" s="268"/>
      <c r="S101" s="268"/>
      <c r="T101" s="268"/>
      <c r="U101" s="268"/>
      <c r="V101" s="267">
        <f t="shared" si="36"/>
        <v>0</v>
      </c>
      <c r="W101" s="268"/>
    </row>
    <row r="102" spans="1:23" s="220" customFormat="1" ht="26.5" customHeight="1" x14ac:dyDescent="0.35">
      <c r="A102" s="319" t="s">
        <v>354</v>
      </c>
      <c r="B102" s="320"/>
      <c r="C102" s="320"/>
      <c r="D102" s="320"/>
      <c r="E102" s="320"/>
      <c r="F102" s="320"/>
      <c r="G102" s="321"/>
      <c r="H102" s="35" t="e">
        <f>SUM(H103:H111)</f>
        <v>#REF!</v>
      </c>
      <c r="I102" s="35" t="e">
        <f>SUM(I103:I111)</f>
        <v>#REF!</v>
      </c>
      <c r="J102" s="236">
        <f>SUM(J86:J101)</f>
        <v>0</v>
      </c>
      <c r="K102" s="236">
        <f>SUM(K86:K101)</f>
        <v>49700</v>
      </c>
      <c r="L102" s="236">
        <f>SUM(L86:L101)</f>
        <v>898800</v>
      </c>
      <c r="M102" s="236">
        <f>SUM(M86:M101)</f>
        <v>2498836</v>
      </c>
      <c r="N102" s="236">
        <f>SUM(N86:N101)</f>
        <v>2181878</v>
      </c>
      <c r="O102" s="299">
        <f t="shared" ref="O102" si="43">N102/M102*1-1</f>
        <v>-0.12684225775521085</v>
      </c>
      <c r="P102" s="236">
        <f>N102-M102</f>
        <v>-316958</v>
      </c>
      <c r="Q102" s="236">
        <f t="shared" ref="Q102:W102" si="44">SUM(Q86:Q101)</f>
        <v>0</v>
      </c>
      <c r="R102" s="236">
        <f t="shared" si="44"/>
        <v>0</v>
      </c>
      <c r="S102" s="236">
        <f t="shared" si="44"/>
        <v>0</v>
      </c>
      <c r="T102" s="236">
        <f t="shared" si="44"/>
        <v>0</v>
      </c>
      <c r="U102" s="236">
        <f t="shared" si="44"/>
        <v>0</v>
      </c>
      <c r="V102" s="236">
        <f t="shared" si="44"/>
        <v>2181878</v>
      </c>
      <c r="W102" s="236">
        <f t="shared" si="44"/>
        <v>0</v>
      </c>
    </row>
    <row r="103" spans="1:23" s="16" customFormat="1" ht="25.5" customHeight="1" x14ac:dyDescent="0.3">
      <c r="A103" s="105" t="s">
        <v>360</v>
      </c>
      <c r="B103" s="84"/>
      <c r="C103" s="84"/>
      <c r="D103" s="84"/>
      <c r="E103" s="84"/>
      <c r="F103" s="84"/>
      <c r="G103" s="46" t="s">
        <v>358</v>
      </c>
      <c r="H103" s="84"/>
      <c r="I103" s="68"/>
      <c r="J103" s="249">
        <v>65496</v>
      </c>
      <c r="K103" s="249">
        <v>76597</v>
      </c>
      <c r="L103" s="249">
        <v>48017</v>
      </c>
      <c r="M103" s="249">
        <v>8080</v>
      </c>
      <c r="N103" s="249"/>
      <c r="O103" s="300">
        <f>L103/K103*1-1</f>
        <v>-0.37312166272830527</v>
      </c>
      <c r="P103" s="269">
        <f>N103-M103</f>
        <v>-8080</v>
      </c>
      <c r="Q103" s="249"/>
      <c r="R103" s="249"/>
      <c r="S103" s="249"/>
      <c r="T103" s="249"/>
      <c r="U103" s="249"/>
      <c r="V103" s="249"/>
      <c r="W103" s="249">
        <f>SUM(N103)</f>
        <v>0</v>
      </c>
    </row>
    <row r="104" spans="1:23" s="16" customFormat="1" ht="25.5" customHeight="1" x14ac:dyDescent="0.3">
      <c r="A104" s="105" t="s">
        <v>361</v>
      </c>
      <c r="B104" s="111"/>
      <c r="C104" s="111"/>
      <c r="D104" s="111"/>
      <c r="E104" s="111"/>
      <c r="F104" s="111"/>
      <c r="G104" s="112" t="s">
        <v>359</v>
      </c>
      <c r="H104" s="84"/>
      <c r="I104" s="68"/>
      <c r="J104" s="249">
        <v>130130</v>
      </c>
      <c r="K104" s="249">
        <v>573322</v>
      </c>
      <c r="L104" s="249">
        <v>1178049</v>
      </c>
      <c r="M104" s="249">
        <v>6476</v>
      </c>
      <c r="N104" s="249">
        <v>2081</v>
      </c>
      <c r="O104" s="300">
        <f>L104/K104*1-1</f>
        <v>1.0547772455967155</v>
      </c>
      <c r="P104" s="269">
        <f>N104-M104</f>
        <v>-4395</v>
      </c>
      <c r="Q104" s="249"/>
      <c r="R104" s="249"/>
      <c r="S104" s="249"/>
      <c r="T104" s="249"/>
      <c r="U104" s="249"/>
      <c r="V104" s="249"/>
      <c r="W104" s="249">
        <f>SUM(N104)</f>
        <v>2081</v>
      </c>
    </row>
    <row r="105" spans="1:23" s="221" customFormat="1" ht="25.5" customHeight="1" x14ac:dyDescent="0.35">
      <c r="A105" s="322" t="s">
        <v>355</v>
      </c>
      <c r="B105" s="323"/>
      <c r="C105" s="323"/>
      <c r="D105" s="323"/>
      <c r="E105" s="323"/>
      <c r="F105" s="323"/>
      <c r="G105" s="324"/>
      <c r="H105" s="222">
        <v>17576</v>
      </c>
      <c r="I105" s="222"/>
      <c r="J105" s="274">
        <f>SUM(J103:J104)</f>
        <v>195626</v>
      </c>
      <c r="K105" s="274">
        <f t="shared" ref="K105:N105" si="45">SUM(K103:K104)</f>
        <v>649919</v>
      </c>
      <c r="L105" s="274">
        <f t="shared" si="45"/>
        <v>1226066</v>
      </c>
      <c r="M105" s="274">
        <f t="shared" si="45"/>
        <v>14556</v>
      </c>
      <c r="N105" s="274">
        <f t="shared" si="45"/>
        <v>2081</v>
      </c>
      <c r="O105" s="301">
        <f t="shared" ref="O105" si="46">N105/M105*1-1</f>
        <v>-0.85703489969771918</v>
      </c>
      <c r="P105" s="274">
        <f>N105-M105</f>
        <v>-12475</v>
      </c>
      <c r="Q105" s="274">
        <f t="shared" ref="Q105" si="47">SUM(Q103:Q104)</f>
        <v>0</v>
      </c>
      <c r="R105" s="274">
        <f t="shared" ref="R105" si="48">SUM(R103:R104)</f>
        <v>0</v>
      </c>
      <c r="S105" s="274">
        <f t="shared" ref="S105" si="49">SUM(S103:S104)</f>
        <v>0</v>
      </c>
      <c r="T105" s="274">
        <f t="shared" ref="T105" si="50">SUM(T103:T104)</f>
        <v>0</v>
      </c>
      <c r="U105" s="274">
        <f t="shared" ref="U105" si="51">SUM(U103:U104)</f>
        <v>0</v>
      </c>
      <c r="V105" s="274">
        <f t="shared" ref="V105" si="52">SUM(V103:V104)</f>
        <v>0</v>
      </c>
      <c r="W105" s="274">
        <f t="shared" ref="W105" si="53">SUM(W103:W104)</f>
        <v>2081</v>
      </c>
    </row>
    <row r="106" spans="1:23" ht="24.75" customHeight="1" x14ac:dyDescent="0.35">
      <c r="A106" s="5"/>
      <c r="B106" s="5"/>
      <c r="C106" s="5"/>
      <c r="D106" s="5"/>
      <c r="E106" s="5"/>
      <c r="F106" s="5"/>
      <c r="G106" s="6" t="s">
        <v>17</v>
      </c>
      <c r="H106" s="47" t="e">
        <f>SUM(H70,#REF!,#REF!,#REF!,#REF!)</f>
        <v>#REF!</v>
      </c>
      <c r="I106" s="47" t="e">
        <f>SUM(I70,#REF!,#REF!,#REF!,#REF!)</f>
        <v>#REF!</v>
      </c>
      <c r="J106" s="275">
        <f>SUM(J70,J105,J102,J85,J75)</f>
        <v>22508541</v>
      </c>
      <c r="K106" s="275">
        <f t="shared" ref="K106:M106" si="54">SUM(K70,K105,K102,K85,K75)</f>
        <v>24145527</v>
      </c>
      <c r="L106" s="275">
        <f t="shared" si="54"/>
        <v>27889037</v>
      </c>
      <c r="M106" s="275">
        <f t="shared" si="54"/>
        <v>27901170</v>
      </c>
      <c r="N106" s="275">
        <f>SUM(N70,N105,N102,N85,N75)</f>
        <v>31638296</v>
      </c>
      <c r="O106" s="302">
        <f t="shared" ref="O106:O110" si="55">N106/M106*1-1</f>
        <v>0.13394155155500642</v>
      </c>
      <c r="P106" s="276">
        <f t="shared" ref="P106:P111" si="56">N106-M106</f>
        <v>3737126</v>
      </c>
      <c r="Q106" s="275">
        <f t="shared" ref="Q106:W106" si="57">SUM(Q70,Q105,Q102,Q85,Q75)</f>
        <v>19289700</v>
      </c>
      <c r="R106" s="275">
        <f t="shared" si="57"/>
        <v>0</v>
      </c>
      <c r="S106" s="275">
        <f t="shared" si="57"/>
        <v>91000</v>
      </c>
      <c r="T106" s="275">
        <f t="shared" si="57"/>
        <v>1050000</v>
      </c>
      <c r="U106" s="275">
        <f t="shared" si="57"/>
        <v>37000</v>
      </c>
      <c r="V106" s="275">
        <f t="shared" si="57"/>
        <v>11168515</v>
      </c>
      <c r="W106" s="275">
        <f t="shared" si="57"/>
        <v>2081</v>
      </c>
    </row>
    <row r="107" spans="1:23" ht="21" customHeight="1" x14ac:dyDescent="0.35">
      <c r="A107" s="24"/>
      <c r="B107" s="24"/>
      <c r="C107" s="24"/>
      <c r="D107" s="24"/>
      <c r="E107" s="24"/>
      <c r="F107" s="24"/>
      <c r="G107" s="27" t="s">
        <v>45</v>
      </c>
      <c r="H107" s="49">
        <v>1370751</v>
      </c>
      <c r="I107" s="49"/>
      <c r="J107" s="277">
        <v>2037067</v>
      </c>
      <c r="K107" s="277">
        <v>3704710</v>
      </c>
      <c r="L107" s="277">
        <v>5881370</v>
      </c>
      <c r="M107" s="277">
        <v>5852365</v>
      </c>
      <c r="N107" s="277">
        <f>SUM(Q107,R107,S107,T107,U107,V107,W107)</f>
        <v>7192172</v>
      </c>
      <c r="O107" s="303">
        <f t="shared" si="55"/>
        <v>0.2289342855409735</v>
      </c>
      <c r="P107" s="278">
        <f t="shared" si="56"/>
        <v>1339807</v>
      </c>
      <c r="Q107" s="277">
        <v>6315001</v>
      </c>
      <c r="R107" s="277">
        <v>0</v>
      </c>
      <c r="S107" s="277">
        <v>510899</v>
      </c>
      <c r="T107" s="277">
        <v>34547</v>
      </c>
      <c r="U107" s="277">
        <v>27118</v>
      </c>
      <c r="V107" s="277"/>
      <c r="W107" s="277">
        <v>304607</v>
      </c>
    </row>
    <row r="108" spans="1:23" ht="24.75" customHeight="1" x14ac:dyDescent="0.35">
      <c r="A108" s="5"/>
      <c r="B108" s="5"/>
      <c r="C108" s="5"/>
      <c r="D108" s="5"/>
      <c r="E108" s="5"/>
      <c r="F108" s="5"/>
      <c r="G108" s="6" t="s">
        <v>46</v>
      </c>
      <c r="H108" s="47" t="e">
        <f>SUM(H106:H107)</f>
        <v>#REF!</v>
      </c>
      <c r="I108" s="47"/>
      <c r="J108" s="275">
        <f>SUM(J106:J107)</f>
        <v>24545608</v>
      </c>
      <c r="K108" s="275">
        <f t="shared" ref="K108:N108" si="58">SUM(K106:K107)</f>
        <v>27850237</v>
      </c>
      <c r="L108" s="275">
        <f t="shared" si="58"/>
        <v>33770407</v>
      </c>
      <c r="M108" s="275">
        <f t="shared" ref="M108" si="59">SUM(M106:M107)</f>
        <v>33753535</v>
      </c>
      <c r="N108" s="275">
        <f t="shared" si="58"/>
        <v>38830468</v>
      </c>
      <c r="O108" s="302">
        <f t="shared" si="55"/>
        <v>0.15041189019164958</v>
      </c>
      <c r="P108" s="276">
        <f t="shared" si="56"/>
        <v>5076933</v>
      </c>
      <c r="Q108" s="275">
        <f>SUM(Q106:Q107)</f>
        <v>25604701</v>
      </c>
      <c r="R108" s="275">
        <f t="shared" ref="R108:S108" si="60">SUM(R106:R107)</f>
        <v>0</v>
      </c>
      <c r="S108" s="275">
        <f t="shared" si="60"/>
        <v>601899</v>
      </c>
      <c r="T108" s="275">
        <f>SUM(T106:T107)</f>
        <v>1084547</v>
      </c>
      <c r="U108" s="275">
        <f>SUM(U106:U107)</f>
        <v>64118</v>
      </c>
      <c r="V108" s="275">
        <f>SUM(V106:V107)</f>
        <v>11168515</v>
      </c>
      <c r="W108" s="275">
        <f>SUM(W106:W107)</f>
        <v>306688</v>
      </c>
    </row>
    <row r="109" spans="1:23" ht="26.25" hidden="1" customHeight="1" x14ac:dyDescent="0.35">
      <c r="A109" s="25"/>
      <c r="B109" s="25"/>
      <c r="C109" s="25"/>
      <c r="D109" s="25"/>
      <c r="E109" s="25"/>
      <c r="F109" s="25"/>
      <c r="G109" s="26" t="s">
        <v>33</v>
      </c>
      <c r="H109" s="52">
        <v>374173</v>
      </c>
      <c r="I109" s="51"/>
      <c r="J109" s="279">
        <v>333995</v>
      </c>
      <c r="K109" s="279">
        <v>166138</v>
      </c>
      <c r="L109" s="279">
        <v>316527</v>
      </c>
      <c r="M109" s="279">
        <v>760218</v>
      </c>
      <c r="N109" s="279">
        <v>1128390</v>
      </c>
      <c r="O109" s="304">
        <f t="shared" si="55"/>
        <v>0.48429792506886193</v>
      </c>
      <c r="P109" s="279">
        <f t="shared" si="56"/>
        <v>368172</v>
      </c>
      <c r="Q109" s="279"/>
      <c r="R109" s="279"/>
      <c r="S109" s="279"/>
      <c r="T109" s="279"/>
      <c r="U109" s="279"/>
      <c r="V109" s="279"/>
      <c r="W109" s="279"/>
    </row>
    <row r="110" spans="1:23" ht="26.25" hidden="1" customHeight="1" x14ac:dyDescent="0.35">
      <c r="A110" s="25"/>
      <c r="B110" s="25"/>
      <c r="C110" s="25"/>
      <c r="D110" s="25"/>
      <c r="E110" s="25"/>
      <c r="F110" s="25"/>
      <c r="G110" s="26" t="s">
        <v>47</v>
      </c>
      <c r="H110" s="52">
        <v>394800</v>
      </c>
      <c r="I110" s="51"/>
      <c r="J110" s="279">
        <v>543850</v>
      </c>
      <c r="K110" s="279">
        <v>201500</v>
      </c>
      <c r="L110" s="280">
        <v>316527</v>
      </c>
      <c r="M110" s="280">
        <v>356442</v>
      </c>
      <c r="N110" s="280">
        <v>655470</v>
      </c>
      <c r="O110" s="304">
        <f t="shared" si="55"/>
        <v>0.83892470584274581</v>
      </c>
      <c r="P110" s="279">
        <f t="shared" si="56"/>
        <v>299028</v>
      </c>
      <c r="Q110" s="279"/>
      <c r="R110" s="279"/>
      <c r="S110" s="279"/>
      <c r="T110" s="279"/>
      <c r="U110" s="279"/>
      <c r="V110" s="279"/>
      <c r="W110" s="279"/>
    </row>
    <row r="111" spans="1:23" ht="24" hidden="1" customHeight="1" x14ac:dyDescent="0.35">
      <c r="A111" s="14"/>
      <c r="B111" s="14"/>
      <c r="C111" s="14"/>
      <c r="D111" s="14"/>
      <c r="E111" s="14"/>
      <c r="F111" s="14"/>
      <c r="G111" s="54" t="s">
        <v>48</v>
      </c>
      <c r="H111" s="55" t="e">
        <f>H108+H109-H110</f>
        <v>#REF!</v>
      </c>
      <c r="I111" s="55"/>
      <c r="J111" s="281">
        <f>J108+J109-J110</f>
        <v>24335753</v>
      </c>
      <c r="K111" s="281">
        <f t="shared" ref="K111:N111" si="61">K108+K109-K110</f>
        <v>27814875</v>
      </c>
      <c r="L111" s="281">
        <f t="shared" si="61"/>
        <v>33770407</v>
      </c>
      <c r="M111" s="281">
        <f t="shared" si="61"/>
        <v>34157311</v>
      </c>
      <c r="N111" s="281">
        <f t="shared" si="61"/>
        <v>39303388</v>
      </c>
      <c r="O111" s="305">
        <f>N111/M111*1-1</f>
        <v>0.15065814167865854</v>
      </c>
      <c r="P111" s="281">
        <f t="shared" si="56"/>
        <v>5146077</v>
      </c>
      <c r="Q111" s="281">
        <f>Q108+Q109-Q110</f>
        <v>25604701</v>
      </c>
      <c r="R111" s="281">
        <f t="shared" ref="R111:S111" si="62">R108+R109-R110</f>
        <v>0</v>
      </c>
      <c r="S111" s="281">
        <f t="shared" si="62"/>
        <v>601899</v>
      </c>
      <c r="T111" s="281">
        <f>T108+T109-T110</f>
        <v>1084547</v>
      </c>
      <c r="U111" s="281">
        <f>U108+U109-U110</f>
        <v>64118</v>
      </c>
      <c r="V111" s="281">
        <f>V108+V109-V110</f>
        <v>11168515</v>
      </c>
      <c r="W111" s="281">
        <f>W108+W109-W110</f>
        <v>306688</v>
      </c>
    </row>
    <row r="112" spans="1:23" ht="24" hidden="1" customHeight="1" x14ac:dyDescent="0.35">
      <c r="A112" s="308"/>
      <c r="B112" s="308"/>
      <c r="C112" s="308"/>
      <c r="D112" s="308"/>
      <c r="E112" s="308"/>
      <c r="F112" s="308"/>
      <c r="G112" s="309" t="s">
        <v>384</v>
      </c>
      <c r="H112" s="310"/>
      <c r="I112" s="310"/>
      <c r="J112" s="311"/>
      <c r="K112" s="311"/>
      <c r="L112" s="311"/>
      <c r="M112" s="311"/>
      <c r="N112" s="311"/>
      <c r="O112" s="312"/>
      <c r="P112" s="311"/>
      <c r="Q112" s="311">
        <f>957000+19234409</f>
        <v>20191409</v>
      </c>
      <c r="R112" s="311">
        <v>2176930</v>
      </c>
      <c r="S112" s="311">
        <v>465437</v>
      </c>
      <c r="T112" s="311">
        <v>1053599</v>
      </c>
      <c r="U112" s="311">
        <v>90038</v>
      </c>
      <c r="V112" s="311">
        <v>10046114</v>
      </c>
      <c r="W112" s="311">
        <v>233784</v>
      </c>
    </row>
    <row r="113" spans="7:23" hidden="1" x14ac:dyDescent="0.35">
      <c r="S113" s="223">
        <f>SUM(S60,S117)</f>
        <v>11754.289999999999</v>
      </c>
      <c r="T113" s="96" t="s">
        <v>372</v>
      </c>
    </row>
    <row r="114" spans="7:23" hidden="1" x14ac:dyDescent="0.35">
      <c r="S114" s="223">
        <f>SUM(S57,S118)</f>
        <v>560145.15</v>
      </c>
      <c r="T114" s="228" t="s">
        <v>373</v>
      </c>
    </row>
    <row r="115" spans="7:23" hidden="1" x14ac:dyDescent="0.35">
      <c r="S115" s="223"/>
    </row>
    <row r="116" spans="7:23" hidden="1" x14ac:dyDescent="0.35">
      <c r="O116" s="325" t="s">
        <v>362</v>
      </c>
      <c r="P116" s="325"/>
      <c r="Q116" s="230">
        <v>402080.23</v>
      </c>
      <c r="R116" s="231"/>
      <c r="S116" s="231"/>
      <c r="T116" s="231"/>
      <c r="U116" s="231"/>
      <c r="V116" s="231"/>
      <c r="W116" s="231"/>
    </row>
    <row r="117" spans="7:23" hidden="1" x14ac:dyDescent="0.35">
      <c r="O117" s="224" t="s">
        <v>363</v>
      </c>
      <c r="P117" s="224"/>
      <c r="Q117" s="231"/>
      <c r="R117" s="231"/>
      <c r="S117" s="230">
        <f>1129.48+9624.81</f>
        <v>10754.289999999999</v>
      </c>
      <c r="T117" s="231"/>
      <c r="U117" s="231"/>
      <c r="V117" s="231"/>
      <c r="W117" s="231"/>
    </row>
    <row r="118" spans="7:23" ht="22" hidden="1" customHeight="1" x14ac:dyDescent="0.35">
      <c r="O118" s="314" t="s">
        <v>371</v>
      </c>
      <c r="P118" s="314"/>
      <c r="Q118" s="231"/>
      <c r="R118" s="231"/>
      <c r="S118" s="230">
        <f>388573.95+111571.2</f>
        <v>500145.15</v>
      </c>
      <c r="T118" s="231"/>
      <c r="U118" s="231"/>
      <c r="V118" s="231"/>
      <c r="W118" s="231"/>
    </row>
    <row r="119" spans="7:23" hidden="1" x14ac:dyDescent="0.35">
      <c r="O119" s="224" t="s">
        <v>364</v>
      </c>
      <c r="P119" s="224"/>
      <c r="Q119" s="231"/>
      <c r="R119" s="231"/>
      <c r="S119" s="230"/>
      <c r="T119" s="230">
        <f>34139.09+407.7</f>
        <v>34546.789999999994</v>
      </c>
      <c r="U119" s="231"/>
      <c r="V119" s="231"/>
      <c r="W119" s="231"/>
    </row>
    <row r="120" spans="7:23" hidden="1" x14ac:dyDescent="0.35">
      <c r="O120" s="224" t="s">
        <v>365</v>
      </c>
      <c r="P120" s="224"/>
      <c r="Q120" s="231"/>
      <c r="R120" s="231"/>
      <c r="S120" s="231"/>
      <c r="T120" s="231"/>
      <c r="U120" s="230">
        <f>7637.67+66.73+18613.67+800</f>
        <v>27118.07</v>
      </c>
      <c r="V120" s="231"/>
      <c r="W120" s="231"/>
    </row>
    <row r="121" spans="7:23" hidden="1" x14ac:dyDescent="0.35">
      <c r="O121" s="315" t="s">
        <v>369</v>
      </c>
      <c r="P121" s="316"/>
      <c r="Q121" s="231"/>
      <c r="R121" s="231"/>
      <c r="S121" s="231"/>
      <c r="T121" s="231"/>
      <c r="U121" s="230"/>
      <c r="V121" s="231"/>
      <c r="W121" s="230">
        <v>304606.81</v>
      </c>
    </row>
    <row r="122" spans="7:23" hidden="1" x14ac:dyDescent="0.35">
      <c r="O122" s="224" t="s">
        <v>366</v>
      </c>
      <c r="P122" s="3"/>
      <c r="Q122" s="232">
        <f>2951484.65+3625431.35</f>
        <v>6576916</v>
      </c>
      <c r="R122" s="231"/>
      <c r="S122" s="231"/>
      <c r="T122" s="231"/>
      <c r="U122" s="231"/>
      <c r="V122" s="231"/>
      <c r="W122" s="231"/>
    </row>
    <row r="123" spans="7:23" ht="23.15" hidden="1" customHeight="1" x14ac:dyDescent="0.35">
      <c r="O123" s="314" t="s">
        <v>367</v>
      </c>
      <c r="P123" s="314"/>
      <c r="Q123" s="230">
        <f xml:space="preserve"> 495297.78+24260.8</f>
        <v>519558.58</v>
      </c>
      <c r="R123" s="231"/>
      <c r="S123" s="231"/>
      <c r="T123" s="231"/>
      <c r="U123" s="231"/>
      <c r="V123" s="231"/>
      <c r="W123" s="231"/>
    </row>
    <row r="124" spans="7:23" s="34" customFormat="1" hidden="1" x14ac:dyDescent="0.35">
      <c r="G124" s="225"/>
      <c r="O124" s="226" t="s">
        <v>368</v>
      </c>
      <c r="P124" s="227">
        <f>SUM(Q124:W124)</f>
        <v>8375725.9200000009</v>
      </c>
      <c r="Q124" s="282">
        <f>SUM(Q116:Q123)</f>
        <v>7498554.8100000005</v>
      </c>
      <c r="R124" s="282">
        <f t="shared" ref="R124:U124" si="63">SUM(R116:R123)</f>
        <v>0</v>
      </c>
      <c r="S124" s="282">
        <f t="shared" si="63"/>
        <v>510899.44</v>
      </c>
      <c r="T124" s="283">
        <f t="shared" si="63"/>
        <v>34546.789999999994</v>
      </c>
      <c r="U124" s="283">
        <f t="shared" si="63"/>
        <v>27118.07</v>
      </c>
      <c r="V124" s="283">
        <f t="shared" ref="V124" si="64">SUM(V116:V123)</f>
        <v>0</v>
      </c>
      <c r="W124" s="283">
        <f t="shared" ref="W124" si="65">SUM(W116:W123)</f>
        <v>304606.81</v>
      </c>
    </row>
    <row r="125" spans="7:23" hidden="1" x14ac:dyDescent="0.35">
      <c r="P125" t="s">
        <v>87</v>
      </c>
      <c r="Q125" s="231"/>
      <c r="R125" s="233">
        <f>SUM(R124,Q124,S124)</f>
        <v>8009454.2500000009</v>
      </c>
      <c r="S125" s="231"/>
      <c r="T125" s="231"/>
      <c r="U125" s="231"/>
      <c r="V125" s="231"/>
      <c r="W125" s="231"/>
    </row>
    <row r="126" spans="7:23" hidden="1" x14ac:dyDescent="0.35">
      <c r="N126" s="228" t="s">
        <v>169</v>
      </c>
    </row>
    <row r="127" spans="7:23" hidden="1" x14ac:dyDescent="0.35">
      <c r="N127" s="228">
        <v>12350</v>
      </c>
      <c r="O127" s="228" t="s">
        <v>370</v>
      </c>
      <c r="Q127" s="229">
        <v>14806800</v>
      </c>
    </row>
    <row r="128" spans="7:23" hidden="1" x14ac:dyDescent="0.35">
      <c r="N128" s="228">
        <v>5024675</v>
      </c>
      <c r="O128" s="228" t="s">
        <v>189</v>
      </c>
      <c r="Q128" s="229">
        <v>5073070</v>
      </c>
    </row>
    <row r="129" spans="13:23" hidden="1" x14ac:dyDescent="0.35">
      <c r="N129" s="228">
        <v>119690</v>
      </c>
      <c r="O129" s="228" t="s">
        <v>374</v>
      </c>
      <c r="Q129" s="229">
        <v>119690</v>
      </c>
    </row>
    <row r="130" spans="13:23" hidden="1" x14ac:dyDescent="0.35">
      <c r="N130" s="284">
        <v>775845</v>
      </c>
      <c r="O130" s="228" t="s">
        <v>102</v>
      </c>
      <c r="Q130" s="229">
        <v>5313700</v>
      </c>
    </row>
    <row r="131" spans="13:23" hidden="1" x14ac:dyDescent="0.35">
      <c r="N131" s="228">
        <v>893340</v>
      </c>
      <c r="O131" s="228" t="s">
        <v>381</v>
      </c>
      <c r="Q131" s="229">
        <v>893340</v>
      </c>
    </row>
    <row r="132" spans="13:23" hidden="1" x14ac:dyDescent="0.35">
      <c r="Q132" s="229">
        <f>SUM(Q127:Q131)</f>
        <v>26206600</v>
      </c>
    </row>
    <row r="133" spans="13:23" hidden="1" x14ac:dyDescent="0.35">
      <c r="N133">
        <f>SUM(N127:N132)</f>
        <v>6825900</v>
      </c>
      <c r="O133" s="228" t="s">
        <v>375</v>
      </c>
      <c r="Q133" s="229">
        <f>Q106+R106+S106-Q132</f>
        <v>-6825900</v>
      </c>
    </row>
    <row r="134" spans="13:23" hidden="1" x14ac:dyDescent="0.35">
      <c r="M134" s="96" t="s">
        <v>380</v>
      </c>
      <c r="N134" s="307">
        <v>1200000</v>
      </c>
      <c r="O134" s="228" t="s">
        <v>376</v>
      </c>
      <c r="Q134" s="306">
        <f>SUM(R125,Q133)</f>
        <v>1183554.2500000009</v>
      </c>
    </row>
    <row r="135" spans="13:23" hidden="1" x14ac:dyDescent="0.35">
      <c r="O135" s="228" t="s">
        <v>103</v>
      </c>
      <c r="T135" s="227">
        <v>1084547</v>
      </c>
    </row>
    <row r="136" spans="13:23" hidden="1" x14ac:dyDescent="0.35">
      <c r="O136" s="228" t="s">
        <v>375</v>
      </c>
      <c r="T136" s="284">
        <f>T106-T135</f>
        <v>-34547</v>
      </c>
    </row>
    <row r="137" spans="13:23" hidden="1" x14ac:dyDescent="0.35">
      <c r="O137" s="228" t="s">
        <v>376</v>
      </c>
      <c r="T137" s="285">
        <f>SUM(T136,T124)</f>
        <v>-0.21000000000640284</v>
      </c>
    </row>
    <row r="138" spans="13:23" hidden="1" x14ac:dyDescent="0.35">
      <c r="O138" s="228" t="s">
        <v>378</v>
      </c>
      <c r="T138" s="285"/>
    </row>
    <row r="139" spans="13:23" hidden="1" x14ac:dyDescent="0.35">
      <c r="O139" s="228" t="s">
        <v>375</v>
      </c>
      <c r="T139" s="285"/>
      <c r="U139" s="284">
        <f>U106-U138</f>
        <v>37000</v>
      </c>
    </row>
    <row r="140" spans="13:23" hidden="1" x14ac:dyDescent="0.35">
      <c r="O140" s="228" t="s">
        <v>376</v>
      </c>
      <c r="T140" s="285"/>
      <c r="U140" s="285">
        <f>SUM(U139,U124)</f>
        <v>64118.07</v>
      </c>
    </row>
    <row r="141" spans="13:23" hidden="1" x14ac:dyDescent="0.35">
      <c r="O141" s="228" t="s">
        <v>377</v>
      </c>
      <c r="V141" s="229">
        <f>SUM(V106)</f>
        <v>11168515</v>
      </c>
    </row>
    <row r="142" spans="13:23" hidden="1" x14ac:dyDescent="0.35">
      <c r="O142" s="228" t="s">
        <v>379</v>
      </c>
      <c r="W142" s="228">
        <v>304607</v>
      </c>
    </row>
    <row r="143" spans="13:23" hidden="1" x14ac:dyDescent="0.35">
      <c r="O143" s="228" t="s">
        <v>375</v>
      </c>
      <c r="W143" s="284">
        <f>W105-W142</f>
        <v>-302526</v>
      </c>
    </row>
    <row r="144" spans="13:23" hidden="1" x14ac:dyDescent="0.35">
      <c r="O144" s="228" t="s">
        <v>376</v>
      </c>
      <c r="W144" s="285">
        <f>SUM(W143,W124)</f>
        <v>2080.8099999999977</v>
      </c>
    </row>
    <row r="145" hidden="1" x14ac:dyDescent="0.35"/>
    <row r="146" hidden="1" x14ac:dyDescent="0.35"/>
    <row r="147" hidden="1" x14ac:dyDescent="0.35"/>
    <row r="148" hidden="1" x14ac:dyDescent="0.35"/>
    <row r="149" hidden="1" x14ac:dyDescent="0.35"/>
  </sheetData>
  <sheetProtection algorithmName="SHA-512" hashValue="eiRvjMrp7u9f8uTwI2Ck7ZvRbnOzJousfY8UEZT54HJpHjoFgiCiYlarDYnc1sxzrzmPo/Q2macVeQ6dOILWdw==" saltValue="Zt5zwOQzlQNRIKO620JsxA==" spinCount="100000" sheet="1" objects="1" scenarios="1"/>
  <mergeCells count="23">
    <mergeCell ref="A2:W2"/>
    <mergeCell ref="A4:G5"/>
    <mergeCell ref="M4:M5"/>
    <mergeCell ref="H4:H5"/>
    <mergeCell ref="O4:P4"/>
    <mergeCell ref="Q4:W4"/>
    <mergeCell ref="K4:K5"/>
    <mergeCell ref="L4:L5"/>
    <mergeCell ref="N4:N5"/>
    <mergeCell ref="I4:I5"/>
    <mergeCell ref="O123:P123"/>
    <mergeCell ref="O121:P121"/>
    <mergeCell ref="J4:J5"/>
    <mergeCell ref="A102:G102"/>
    <mergeCell ref="A105:G105"/>
    <mergeCell ref="O116:P116"/>
    <mergeCell ref="O118:P118"/>
    <mergeCell ref="A7:G7"/>
    <mergeCell ref="A75:G75"/>
    <mergeCell ref="A85:G85"/>
    <mergeCell ref="A6:G6"/>
    <mergeCell ref="A8:G8"/>
    <mergeCell ref="A70:G70"/>
  </mergeCells>
  <pageMargins left="0.31496062992125984" right="0" top="0.55118110236220474" bottom="0" header="0.31496062992125984" footer="0.31496062992125984"/>
  <pageSetup paperSize="9" scale="69" fitToHeight="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6E6C-EA7A-4CD2-98BB-8F9D48D07FE7}">
  <sheetPr>
    <pageSetUpPr fitToPage="1"/>
  </sheetPr>
  <dimension ref="A2:I55"/>
  <sheetViews>
    <sheetView topLeftCell="A46" workbookViewId="0">
      <selection activeCell="B26" sqref="B26:B28"/>
    </sheetView>
  </sheetViews>
  <sheetFormatPr defaultRowHeight="14.5" x14ac:dyDescent="0.35"/>
  <cols>
    <col min="1" max="1" width="6.26953125" style="191" customWidth="1"/>
    <col min="2" max="2" width="51.1796875" customWidth="1"/>
    <col min="3" max="3" width="16.1796875" style="191" customWidth="1"/>
    <col min="4" max="4" width="14.1796875" style="191" customWidth="1"/>
    <col min="5" max="5" width="14.81640625" style="191" customWidth="1"/>
    <col min="6" max="6" width="13.1796875" style="191" customWidth="1"/>
    <col min="7" max="7" width="12.1796875" style="191" customWidth="1"/>
    <col min="8" max="8" width="11.453125" style="191" customWidth="1"/>
    <col min="9" max="9" width="27.54296875" customWidth="1"/>
  </cols>
  <sheetData>
    <row r="2" spans="1:9" x14ac:dyDescent="0.35">
      <c r="B2" s="342" t="s">
        <v>269</v>
      </c>
      <c r="C2" s="342"/>
      <c r="D2" s="342"/>
      <c r="E2" s="342"/>
      <c r="F2" s="342"/>
      <c r="G2" s="342"/>
    </row>
    <row r="4" spans="1:9" ht="29" x14ac:dyDescent="0.35">
      <c r="A4" s="195"/>
      <c r="B4" s="22"/>
      <c r="C4" s="196" t="s">
        <v>263</v>
      </c>
      <c r="D4" s="196" t="s">
        <v>267</v>
      </c>
      <c r="E4" s="196" t="s">
        <v>268</v>
      </c>
      <c r="F4" s="197" t="s">
        <v>264</v>
      </c>
      <c r="G4" s="197" t="s">
        <v>265</v>
      </c>
      <c r="H4" s="197" t="s">
        <v>266</v>
      </c>
      <c r="I4" s="197" t="s">
        <v>270</v>
      </c>
    </row>
    <row r="5" spans="1:9" ht="47.5" customHeight="1" x14ac:dyDescent="0.35">
      <c r="A5" s="209" t="s">
        <v>258</v>
      </c>
      <c r="B5" s="210" t="s">
        <v>259</v>
      </c>
      <c r="C5" s="209">
        <f t="shared" ref="C5:H5" si="0">SUM(C6,C9,C10,C11,C17,C25)</f>
        <v>170568.74</v>
      </c>
      <c r="D5" s="209">
        <f t="shared" si="0"/>
        <v>108000</v>
      </c>
      <c r="E5" s="209">
        <f t="shared" si="0"/>
        <v>29955.9</v>
      </c>
      <c r="F5" s="209">
        <f t="shared" si="0"/>
        <v>94052</v>
      </c>
      <c r="G5" s="209">
        <f t="shared" si="0"/>
        <v>93680</v>
      </c>
      <c r="H5" s="209">
        <f t="shared" si="0"/>
        <v>93776</v>
      </c>
      <c r="I5" s="3"/>
    </row>
    <row r="6" spans="1:9" x14ac:dyDescent="0.35">
      <c r="A6" s="194"/>
      <c r="B6" s="203" t="s">
        <v>255</v>
      </c>
      <c r="C6" s="198">
        <f>SUM(C7:C8)</f>
        <v>3.3400000000000318</v>
      </c>
      <c r="D6" s="198">
        <v>0</v>
      </c>
      <c r="E6" s="198">
        <f>SUM(E7:E8)</f>
        <v>284.98</v>
      </c>
      <c r="F6" s="198">
        <f t="shared" ref="F6:H6" si="1">SUM(F7:F8)</f>
        <v>500</v>
      </c>
      <c r="G6" s="198">
        <f t="shared" si="1"/>
        <v>200</v>
      </c>
      <c r="H6" s="198">
        <f t="shared" si="1"/>
        <v>200</v>
      </c>
      <c r="I6" s="3"/>
    </row>
    <row r="7" spans="1:9" x14ac:dyDescent="0.35">
      <c r="A7" s="194"/>
      <c r="B7" s="192" t="s">
        <v>284</v>
      </c>
      <c r="C7" s="207">
        <v>-641.23</v>
      </c>
      <c r="D7" s="207"/>
      <c r="E7" s="207">
        <v>108.14</v>
      </c>
      <c r="F7" s="207">
        <v>200</v>
      </c>
      <c r="G7" s="207">
        <v>200</v>
      </c>
      <c r="H7" s="207">
        <v>200</v>
      </c>
      <c r="I7" s="3"/>
    </row>
    <row r="8" spans="1:9" x14ac:dyDescent="0.35">
      <c r="A8" s="194"/>
      <c r="B8" s="192" t="s">
        <v>283</v>
      </c>
      <c r="C8" s="207">
        <v>644.57000000000005</v>
      </c>
      <c r="D8" s="207"/>
      <c r="E8" s="207">
        <v>176.84</v>
      </c>
      <c r="F8" s="207">
        <v>300</v>
      </c>
      <c r="G8" s="207">
        <v>0</v>
      </c>
      <c r="H8" s="207">
        <v>0</v>
      </c>
      <c r="I8" s="3"/>
    </row>
    <row r="9" spans="1:9" ht="72.5" x14ac:dyDescent="0.35">
      <c r="A9" s="194"/>
      <c r="B9" s="203" t="s">
        <v>130</v>
      </c>
      <c r="C9" s="198">
        <v>69261.17</v>
      </c>
      <c r="D9" s="198">
        <v>65000</v>
      </c>
      <c r="E9" s="198">
        <v>7689.94</v>
      </c>
      <c r="F9" s="198">
        <v>74000</v>
      </c>
      <c r="G9" s="198">
        <v>74000</v>
      </c>
      <c r="H9" s="198">
        <v>74000</v>
      </c>
      <c r="I9" s="214" t="s">
        <v>291</v>
      </c>
    </row>
    <row r="10" spans="1:9" x14ac:dyDescent="0.35">
      <c r="A10" s="194"/>
      <c r="B10" s="203" t="s">
        <v>94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3" t="s">
        <v>294</v>
      </c>
    </row>
    <row r="11" spans="1:9" x14ac:dyDescent="0.35">
      <c r="A11" s="194"/>
      <c r="B11" s="206" t="s">
        <v>256</v>
      </c>
      <c r="C11" s="198">
        <v>11605.38</v>
      </c>
      <c r="D11" s="198">
        <v>3200</v>
      </c>
      <c r="E11" s="198">
        <v>7596.17</v>
      </c>
      <c r="F11" s="198">
        <f>SUM(F12:F16)</f>
        <v>7952</v>
      </c>
      <c r="G11" s="198">
        <f>SUM(G12:G16)</f>
        <v>7880</v>
      </c>
      <c r="H11" s="198">
        <f>SUM(H12:H16)</f>
        <v>7976</v>
      </c>
      <c r="I11" s="3"/>
    </row>
    <row r="12" spans="1:9" ht="43.5" x14ac:dyDescent="0.35">
      <c r="A12" s="194"/>
      <c r="B12" s="192" t="s">
        <v>227</v>
      </c>
      <c r="C12" s="202"/>
      <c r="D12" s="202"/>
      <c r="E12" s="202"/>
      <c r="F12" s="202">
        <v>1500</v>
      </c>
      <c r="G12" s="202">
        <v>1500</v>
      </c>
      <c r="H12" s="202">
        <v>1500</v>
      </c>
      <c r="I12" s="214" t="s">
        <v>286</v>
      </c>
    </row>
    <row r="13" spans="1:9" ht="43.5" x14ac:dyDescent="0.35">
      <c r="A13" s="194"/>
      <c r="B13" s="192" t="s">
        <v>271</v>
      </c>
      <c r="C13" s="202"/>
      <c r="D13" s="202"/>
      <c r="E13" s="202"/>
      <c r="F13" s="202">
        <v>380</v>
      </c>
      <c r="G13" s="202">
        <v>380</v>
      </c>
      <c r="H13" s="202">
        <v>380</v>
      </c>
      <c r="I13" s="214" t="s">
        <v>286</v>
      </c>
    </row>
    <row r="14" spans="1:9" ht="43.5" x14ac:dyDescent="0.35">
      <c r="A14" s="194"/>
      <c r="B14" s="193" t="s">
        <v>228</v>
      </c>
      <c r="C14" s="202"/>
      <c r="D14" s="202"/>
      <c r="E14" s="202"/>
      <c r="F14" s="202">
        <v>72</v>
      </c>
      <c r="G14" s="202">
        <v>0</v>
      </c>
      <c r="H14" s="202">
        <v>96</v>
      </c>
      <c r="I14" s="214" t="s">
        <v>286</v>
      </c>
    </row>
    <row r="15" spans="1:9" ht="43.5" x14ac:dyDescent="0.35">
      <c r="A15" s="194"/>
      <c r="B15" s="192" t="s">
        <v>230</v>
      </c>
      <c r="C15" s="202"/>
      <c r="D15" s="202"/>
      <c r="E15" s="202"/>
      <c r="F15" s="202">
        <v>1000</v>
      </c>
      <c r="G15" s="202">
        <v>1000</v>
      </c>
      <c r="H15" s="202">
        <v>1000</v>
      </c>
      <c r="I15" s="214" t="s">
        <v>288</v>
      </c>
    </row>
    <row r="16" spans="1:9" ht="58" x14ac:dyDescent="0.35">
      <c r="A16" s="194"/>
      <c r="B16" s="192" t="s">
        <v>290</v>
      </c>
      <c r="C16" s="202"/>
      <c r="D16" s="202"/>
      <c r="E16" s="202"/>
      <c r="F16" s="202">
        <v>5000</v>
      </c>
      <c r="G16" s="202">
        <v>5000</v>
      </c>
      <c r="H16" s="202">
        <v>5000</v>
      </c>
      <c r="I16" s="214" t="s">
        <v>292</v>
      </c>
    </row>
    <row r="17" spans="1:9" x14ac:dyDescent="0.35">
      <c r="A17" s="194"/>
      <c r="B17" s="203" t="s">
        <v>260</v>
      </c>
      <c r="C17" s="198">
        <f>SUM(C18:C24)</f>
        <v>86005.109999999986</v>
      </c>
      <c r="D17" s="198">
        <f t="shared" ref="D17:H17" si="2">SUM(D18:D24)</f>
        <v>0</v>
      </c>
      <c r="E17" s="198">
        <f t="shared" si="2"/>
        <v>13146.810000000001</v>
      </c>
      <c r="F17" s="198">
        <f t="shared" si="2"/>
        <v>10800</v>
      </c>
      <c r="G17" s="198">
        <f t="shared" si="2"/>
        <v>10800</v>
      </c>
      <c r="H17" s="198">
        <f t="shared" si="2"/>
        <v>10800</v>
      </c>
      <c r="I17" s="3"/>
    </row>
    <row r="18" spans="1:9" x14ac:dyDescent="0.35">
      <c r="A18" s="194"/>
      <c r="B18" s="192" t="s">
        <v>276</v>
      </c>
      <c r="C18" s="207">
        <v>684.3</v>
      </c>
      <c r="D18" s="207"/>
      <c r="E18" s="207">
        <v>1161</v>
      </c>
      <c r="F18" s="207"/>
      <c r="G18" s="207"/>
      <c r="H18" s="207"/>
      <c r="I18" s="353" t="s">
        <v>293</v>
      </c>
    </row>
    <row r="19" spans="1:9" x14ac:dyDescent="0.35">
      <c r="A19" s="194"/>
      <c r="B19" s="192" t="s">
        <v>277</v>
      </c>
      <c r="C19" s="207">
        <v>1675.25</v>
      </c>
      <c r="D19" s="207"/>
      <c r="E19" s="207">
        <v>1403.98</v>
      </c>
      <c r="F19" s="207">
        <v>1600</v>
      </c>
      <c r="G19" s="207">
        <v>1600</v>
      </c>
      <c r="H19" s="207">
        <v>1600</v>
      </c>
      <c r="I19" s="354"/>
    </row>
    <row r="20" spans="1:9" x14ac:dyDescent="0.35">
      <c r="A20" s="194"/>
      <c r="B20" s="192" t="s">
        <v>278</v>
      </c>
      <c r="C20" s="202">
        <v>74160.53</v>
      </c>
      <c r="D20" s="202"/>
      <c r="E20" s="202">
        <v>2997.38</v>
      </c>
      <c r="F20" s="202"/>
      <c r="G20" s="202"/>
      <c r="H20" s="202"/>
      <c r="I20" s="354"/>
    </row>
    <row r="21" spans="1:9" x14ac:dyDescent="0.35">
      <c r="A21" s="194"/>
      <c r="B21" s="192" t="s">
        <v>279</v>
      </c>
      <c r="C21" s="202">
        <v>229.54</v>
      </c>
      <c r="D21" s="202"/>
      <c r="E21" s="202">
        <v>209.99</v>
      </c>
      <c r="F21" s="202">
        <v>200</v>
      </c>
      <c r="G21" s="202">
        <v>200</v>
      </c>
      <c r="H21" s="202">
        <v>200</v>
      </c>
      <c r="I21" s="354"/>
    </row>
    <row r="22" spans="1:9" x14ac:dyDescent="0.35">
      <c r="A22" s="194"/>
      <c r="B22" s="192" t="s">
        <v>280</v>
      </c>
      <c r="C22" s="202"/>
      <c r="D22" s="202"/>
      <c r="E22" s="202">
        <v>162.4</v>
      </c>
      <c r="F22" s="202"/>
      <c r="G22" s="202"/>
      <c r="H22" s="202"/>
      <c r="I22" s="354"/>
    </row>
    <row r="23" spans="1:9" x14ac:dyDescent="0.35">
      <c r="A23" s="194"/>
      <c r="B23" s="192" t="s">
        <v>282</v>
      </c>
      <c r="C23" s="202">
        <v>0.06</v>
      </c>
      <c r="D23" s="202"/>
      <c r="E23" s="202">
        <v>0.02</v>
      </c>
      <c r="F23" s="202"/>
      <c r="G23" s="202"/>
      <c r="H23" s="202"/>
      <c r="I23" s="354"/>
    </row>
    <row r="24" spans="1:9" x14ac:dyDescent="0.35">
      <c r="A24" s="194"/>
      <c r="B24" s="192" t="s">
        <v>281</v>
      </c>
      <c r="C24" s="207">
        <v>9255.43</v>
      </c>
      <c r="D24" s="207"/>
      <c r="E24" s="207">
        <v>7212.04</v>
      </c>
      <c r="F24" s="207">
        <v>9000</v>
      </c>
      <c r="G24" s="207">
        <v>9000</v>
      </c>
      <c r="H24" s="207">
        <v>9000</v>
      </c>
      <c r="I24" s="355"/>
    </row>
    <row r="25" spans="1:9" x14ac:dyDescent="0.35">
      <c r="A25" s="194"/>
      <c r="B25" s="203" t="s">
        <v>261</v>
      </c>
      <c r="C25" s="198">
        <f>SUM(C26:C28)</f>
        <v>3693.74</v>
      </c>
      <c r="D25" s="198">
        <v>39800</v>
      </c>
      <c r="E25" s="198">
        <f>SUM(E26:E28)</f>
        <v>1238</v>
      </c>
      <c r="F25" s="198">
        <f t="shared" ref="F25:H25" si="3">SUM(F26:F28)</f>
        <v>800</v>
      </c>
      <c r="G25" s="198">
        <f t="shared" si="3"/>
        <v>800</v>
      </c>
      <c r="H25" s="198">
        <f t="shared" si="3"/>
        <v>800</v>
      </c>
      <c r="I25" s="3"/>
    </row>
    <row r="26" spans="1:9" x14ac:dyDescent="0.35">
      <c r="A26" s="194"/>
      <c r="B26" s="192" t="s">
        <v>273</v>
      </c>
      <c r="C26" s="205">
        <v>1072.52</v>
      </c>
      <c r="D26" s="204"/>
      <c r="E26" s="202">
        <v>438</v>
      </c>
      <c r="F26" s="202"/>
      <c r="G26" s="202"/>
      <c r="H26" s="202"/>
      <c r="I26" s="353" t="s">
        <v>293</v>
      </c>
    </row>
    <row r="27" spans="1:9" ht="29" x14ac:dyDescent="0.35">
      <c r="A27" s="194"/>
      <c r="B27" s="193" t="s">
        <v>275</v>
      </c>
      <c r="C27" s="205">
        <v>696.22</v>
      </c>
      <c r="D27" s="204"/>
      <c r="E27" s="202"/>
      <c r="F27" s="202"/>
      <c r="G27" s="202"/>
      <c r="H27" s="202"/>
      <c r="I27" s="354"/>
    </row>
    <row r="28" spans="1:9" x14ac:dyDescent="0.35">
      <c r="A28" s="194"/>
      <c r="B28" s="192" t="s">
        <v>274</v>
      </c>
      <c r="C28" s="205">
        <v>1925</v>
      </c>
      <c r="D28" s="205">
        <v>39800</v>
      </c>
      <c r="E28" s="202">
        <v>800</v>
      </c>
      <c r="F28" s="202">
        <v>800</v>
      </c>
      <c r="G28" s="202">
        <v>800</v>
      </c>
      <c r="H28" s="202">
        <v>800</v>
      </c>
      <c r="I28" s="355"/>
    </row>
    <row r="29" spans="1:9" ht="30" customHeight="1" x14ac:dyDescent="0.35">
      <c r="A29" s="211" t="s">
        <v>145</v>
      </c>
      <c r="B29" s="212" t="s">
        <v>13</v>
      </c>
      <c r="C29" s="213">
        <f>SUM(C31:C33)</f>
        <v>951294.53</v>
      </c>
      <c r="D29" s="213">
        <f t="shared" ref="D29:H29" si="4">SUM(D31:D33)</f>
        <v>957500</v>
      </c>
      <c r="E29" s="213">
        <f t="shared" si="4"/>
        <v>442568.63</v>
      </c>
      <c r="F29" s="213">
        <f t="shared" si="4"/>
        <v>974487</v>
      </c>
      <c r="G29" s="213">
        <f t="shared" si="4"/>
        <v>990057</v>
      </c>
      <c r="H29" s="213">
        <f t="shared" si="4"/>
        <v>995857</v>
      </c>
      <c r="I29" s="3"/>
    </row>
    <row r="30" spans="1:9" x14ac:dyDescent="0.35">
      <c r="A30" s="194"/>
      <c r="B30" s="199" t="s">
        <v>58</v>
      </c>
      <c r="C30" s="202"/>
      <c r="D30" s="202"/>
      <c r="E30" s="202"/>
      <c r="F30" s="202"/>
      <c r="G30" s="202"/>
      <c r="H30" s="202"/>
      <c r="I30" s="3"/>
    </row>
    <row r="31" spans="1:9" x14ac:dyDescent="0.35">
      <c r="A31" s="194"/>
      <c r="B31" s="199" t="s">
        <v>70</v>
      </c>
      <c r="C31" s="202">
        <v>177739.36</v>
      </c>
      <c r="D31" s="202">
        <v>151900</v>
      </c>
      <c r="E31" s="202">
        <v>71532.259999999995</v>
      </c>
      <c r="F31" s="202">
        <v>137055</v>
      </c>
      <c r="G31" s="202">
        <v>137125</v>
      </c>
      <c r="H31" s="202">
        <v>137225</v>
      </c>
      <c r="I31" s="350" t="s">
        <v>287</v>
      </c>
    </row>
    <row r="32" spans="1:9" x14ac:dyDescent="0.35">
      <c r="A32" s="194"/>
      <c r="B32" s="199" t="s">
        <v>71</v>
      </c>
      <c r="C32" s="202">
        <v>122221.24</v>
      </c>
      <c r="D32" s="202">
        <v>86600</v>
      </c>
      <c r="E32" s="202">
        <v>38544.51</v>
      </c>
      <c r="F32" s="202">
        <v>84390</v>
      </c>
      <c r="G32" s="202">
        <v>85890</v>
      </c>
      <c r="H32" s="202">
        <v>86890</v>
      </c>
      <c r="I32" s="351"/>
    </row>
    <row r="33" spans="1:9" ht="61" customHeight="1" x14ac:dyDescent="0.35">
      <c r="A33" s="194"/>
      <c r="B33" s="200" t="s">
        <v>72</v>
      </c>
      <c r="C33" s="202">
        <v>651333.93000000005</v>
      </c>
      <c r="D33" s="202">
        <v>719000</v>
      </c>
      <c r="E33" s="202">
        <v>332491.86</v>
      </c>
      <c r="F33" s="202">
        <v>753042</v>
      </c>
      <c r="G33" s="202">
        <v>767042</v>
      </c>
      <c r="H33" s="202">
        <v>771742</v>
      </c>
      <c r="I33" s="352"/>
    </row>
    <row r="34" spans="1:9" ht="40" customHeight="1" x14ac:dyDescent="0.35">
      <c r="A34" s="211" t="s">
        <v>262</v>
      </c>
      <c r="B34" s="212" t="s">
        <v>34</v>
      </c>
      <c r="C34" s="213">
        <f>SUM(C36:C39)</f>
        <v>69815.61</v>
      </c>
      <c r="D34" s="213">
        <f t="shared" ref="D34:H34" si="5">SUM(D36:D39)</f>
        <v>60000</v>
      </c>
      <c r="E34" s="213">
        <f t="shared" si="5"/>
        <v>28050.18</v>
      </c>
      <c r="F34" s="213">
        <f t="shared" si="5"/>
        <v>90000</v>
      </c>
      <c r="G34" s="213">
        <f t="shared" si="5"/>
        <v>90000</v>
      </c>
      <c r="H34" s="213">
        <f t="shared" si="5"/>
        <v>90000</v>
      </c>
      <c r="I34" s="3"/>
    </row>
    <row r="35" spans="1:9" x14ac:dyDescent="0.35">
      <c r="A35" s="194"/>
      <c r="B35" s="199" t="s">
        <v>58</v>
      </c>
      <c r="C35" s="202"/>
      <c r="D35" s="202"/>
      <c r="E35" s="202"/>
      <c r="F35" s="202"/>
      <c r="G35" s="202"/>
      <c r="H35" s="202"/>
      <c r="I35" s="3"/>
    </row>
    <row r="36" spans="1:9" ht="43.5" x14ac:dyDescent="0.35">
      <c r="A36" s="194"/>
      <c r="B36" s="200" t="s">
        <v>80</v>
      </c>
      <c r="C36" s="202">
        <v>62162.3</v>
      </c>
      <c r="D36" s="202">
        <v>60000</v>
      </c>
      <c r="E36" s="202">
        <v>26917.8</v>
      </c>
      <c r="F36" s="202">
        <v>60000</v>
      </c>
      <c r="G36" s="202">
        <v>60000</v>
      </c>
      <c r="H36" s="202">
        <v>60000</v>
      </c>
      <c r="I36" s="214" t="s">
        <v>286</v>
      </c>
    </row>
    <row r="37" spans="1:9" ht="43.5" x14ac:dyDescent="0.35">
      <c r="A37" s="194"/>
      <c r="B37" s="199" t="s">
        <v>81</v>
      </c>
      <c r="C37" s="202"/>
      <c r="D37" s="202"/>
      <c r="E37" s="202"/>
      <c r="F37" s="202">
        <v>30000</v>
      </c>
      <c r="G37" s="202">
        <v>30000</v>
      </c>
      <c r="H37" s="202">
        <v>30000</v>
      </c>
      <c r="I37" s="214" t="s">
        <v>286</v>
      </c>
    </row>
    <row r="38" spans="1:9" x14ac:dyDescent="0.35">
      <c r="A38" s="194"/>
      <c r="B38" s="199" t="s">
        <v>73</v>
      </c>
      <c r="C38" s="202"/>
      <c r="D38" s="202"/>
      <c r="E38" s="202"/>
      <c r="F38" s="202"/>
      <c r="G38" s="202"/>
      <c r="H38" s="202"/>
      <c r="I38" s="3"/>
    </row>
    <row r="39" spans="1:9" x14ac:dyDescent="0.35">
      <c r="A39" s="194"/>
      <c r="B39" s="199" t="s">
        <v>68</v>
      </c>
      <c r="C39" s="202">
        <v>7653.31</v>
      </c>
      <c r="D39" s="202">
        <v>0</v>
      </c>
      <c r="E39" s="202">
        <v>1132.3800000000001</v>
      </c>
      <c r="F39" s="202"/>
      <c r="G39" s="202"/>
      <c r="H39" s="202"/>
      <c r="I39" s="3"/>
    </row>
    <row r="40" spans="1:9" ht="37.5" customHeight="1" x14ac:dyDescent="0.35">
      <c r="A40" s="211" t="s">
        <v>253</v>
      </c>
      <c r="B40" s="212" t="s">
        <v>14</v>
      </c>
      <c r="C40" s="213">
        <f>SUM(C41:C45)</f>
        <v>52407.71</v>
      </c>
      <c r="D40" s="213">
        <f t="shared" ref="D40:H40" si="6">SUM(D41:D45)</f>
        <v>37000</v>
      </c>
      <c r="E40" s="213">
        <f t="shared" si="6"/>
        <v>26471.68</v>
      </c>
      <c r="F40" s="213">
        <f t="shared" si="6"/>
        <v>37000</v>
      </c>
      <c r="G40" s="213">
        <f t="shared" si="6"/>
        <v>37000</v>
      </c>
      <c r="H40" s="213">
        <f t="shared" si="6"/>
        <v>37000</v>
      </c>
      <c r="I40" s="3"/>
    </row>
    <row r="41" spans="1:9" x14ac:dyDescent="0.35">
      <c r="A41" s="194"/>
      <c r="B41" s="199" t="s">
        <v>58</v>
      </c>
      <c r="C41" s="202"/>
      <c r="D41" s="202"/>
      <c r="E41" s="202"/>
      <c r="F41" s="202"/>
      <c r="G41" s="202"/>
      <c r="H41" s="202"/>
      <c r="I41" s="3"/>
    </row>
    <row r="42" spans="1:9" ht="43.5" x14ac:dyDescent="0.35">
      <c r="A42" s="194"/>
      <c r="B42" s="199" t="s">
        <v>59</v>
      </c>
      <c r="C42" s="202">
        <v>17996.68</v>
      </c>
      <c r="D42" s="202">
        <v>22000</v>
      </c>
      <c r="E42" s="202">
        <v>19074.61</v>
      </c>
      <c r="F42" s="202">
        <v>22000</v>
      </c>
      <c r="G42" s="202">
        <v>22000</v>
      </c>
      <c r="H42" s="202">
        <v>22000</v>
      </c>
      <c r="I42" s="214" t="s">
        <v>286</v>
      </c>
    </row>
    <row r="43" spans="1:9" ht="43.5" x14ac:dyDescent="0.35">
      <c r="A43" s="194"/>
      <c r="B43" s="199" t="s">
        <v>67</v>
      </c>
      <c r="C43" s="202">
        <v>13458.53</v>
      </c>
      <c r="D43" s="202">
        <v>14200</v>
      </c>
      <c r="E43" s="202">
        <v>5458.07</v>
      </c>
      <c r="F43" s="202">
        <v>14200</v>
      </c>
      <c r="G43" s="202">
        <v>14200</v>
      </c>
      <c r="H43" s="202">
        <v>14200</v>
      </c>
      <c r="I43" s="214" t="s">
        <v>286</v>
      </c>
    </row>
    <row r="44" spans="1:9" ht="43.5" x14ac:dyDescent="0.35">
      <c r="A44" s="194"/>
      <c r="B44" s="199" t="s">
        <v>60</v>
      </c>
      <c r="C44" s="202">
        <v>1935.5</v>
      </c>
      <c r="D44" s="202">
        <v>800</v>
      </c>
      <c r="E44" s="202">
        <v>1939</v>
      </c>
      <c r="F44" s="202">
        <v>800</v>
      </c>
      <c r="G44" s="202">
        <v>800</v>
      </c>
      <c r="H44" s="202">
        <v>800</v>
      </c>
      <c r="I44" s="214" t="s">
        <v>286</v>
      </c>
    </row>
    <row r="45" spans="1:9" x14ac:dyDescent="0.35">
      <c r="A45" s="194"/>
      <c r="B45" s="199" t="s">
        <v>61</v>
      </c>
      <c r="C45" s="202">
        <v>19017</v>
      </c>
      <c r="D45" s="202"/>
      <c r="E45" s="202"/>
      <c r="F45" s="202"/>
      <c r="G45" s="202"/>
      <c r="H45" s="202"/>
      <c r="I45" s="3" t="s">
        <v>289</v>
      </c>
    </row>
    <row r="46" spans="1:9" ht="30" customHeight="1" x14ac:dyDescent="0.35">
      <c r="A46" s="211" t="s">
        <v>254</v>
      </c>
      <c r="B46" s="212" t="s">
        <v>257</v>
      </c>
      <c r="C46" s="213">
        <f>SUM(C47:C54)</f>
        <v>620095.66</v>
      </c>
      <c r="D46" s="213">
        <f t="shared" ref="D46:H46" si="7">SUM(D47:D54)</f>
        <v>654000</v>
      </c>
      <c r="E46" s="213">
        <f t="shared" si="7"/>
        <v>514855.75</v>
      </c>
      <c r="F46" s="213">
        <f t="shared" si="7"/>
        <v>654300</v>
      </c>
      <c r="G46" s="213">
        <f t="shared" si="7"/>
        <v>654300</v>
      </c>
      <c r="H46" s="213">
        <f t="shared" si="7"/>
        <v>654300</v>
      </c>
      <c r="I46" s="3"/>
    </row>
    <row r="47" spans="1:9" x14ac:dyDescent="0.35">
      <c r="A47" s="194"/>
      <c r="B47" s="199" t="s">
        <v>58</v>
      </c>
      <c r="C47" s="202"/>
      <c r="D47" s="202"/>
      <c r="E47" s="202"/>
      <c r="F47" s="202"/>
      <c r="G47" s="202"/>
      <c r="H47" s="202"/>
      <c r="I47" s="3"/>
    </row>
    <row r="48" spans="1:9" x14ac:dyDescent="0.35">
      <c r="A48" s="194"/>
      <c r="B48" s="199" t="s">
        <v>54</v>
      </c>
      <c r="C48" s="202"/>
      <c r="D48" s="202"/>
      <c r="E48" s="202"/>
      <c r="F48" s="202"/>
      <c r="G48" s="202"/>
      <c r="H48" s="202"/>
      <c r="I48" s="3"/>
    </row>
    <row r="49" spans="1:9" ht="43.5" x14ac:dyDescent="0.35">
      <c r="A49" s="194"/>
      <c r="B49" s="199" t="s">
        <v>66</v>
      </c>
      <c r="C49" s="202">
        <v>86</v>
      </c>
      <c r="D49" s="202">
        <v>700</v>
      </c>
      <c r="E49" s="202">
        <v>0</v>
      </c>
      <c r="F49" s="202">
        <v>500</v>
      </c>
      <c r="G49" s="202">
        <v>500</v>
      </c>
      <c r="H49" s="202">
        <v>500</v>
      </c>
      <c r="I49" s="214" t="s">
        <v>286</v>
      </c>
    </row>
    <row r="50" spans="1:9" ht="43.5" x14ac:dyDescent="0.35">
      <c r="A50" s="194"/>
      <c r="B50" s="200" t="s">
        <v>272</v>
      </c>
      <c r="C50" s="202">
        <v>3654</v>
      </c>
      <c r="D50" s="202">
        <v>3200</v>
      </c>
      <c r="E50" s="202">
        <v>2995</v>
      </c>
      <c r="F50" s="202">
        <v>2500</v>
      </c>
      <c r="G50" s="202">
        <v>2500</v>
      </c>
      <c r="H50" s="202">
        <v>2500</v>
      </c>
      <c r="I50" s="214" t="s">
        <v>286</v>
      </c>
    </row>
    <row r="51" spans="1:9" ht="43.5" x14ac:dyDescent="0.35">
      <c r="A51" s="194"/>
      <c r="B51" s="199" t="s">
        <v>64</v>
      </c>
      <c r="C51" s="202">
        <v>7330</v>
      </c>
      <c r="D51" s="202">
        <v>5000</v>
      </c>
      <c r="E51" s="202">
        <v>5468.38</v>
      </c>
      <c r="F51" s="202">
        <v>6000</v>
      </c>
      <c r="G51" s="202">
        <v>6000</v>
      </c>
      <c r="H51" s="202">
        <v>6000</v>
      </c>
      <c r="I51" s="214" t="s">
        <v>288</v>
      </c>
    </row>
    <row r="52" spans="1:9" ht="43.5" x14ac:dyDescent="0.35">
      <c r="A52" s="194"/>
      <c r="B52" s="201" t="s">
        <v>65</v>
      </c>
      <c r="C52" s="202">
        <v>73.599999999999994</v>
      </c>
      <c r="D52" s="202">
        <v>100</v>
      </c>
      <c r="E52" s="202">
        <v>0</v>
      </c>
      <c r="F52" s="202">
        <v>300</v>
      </c>
      <c r="G52" s="202">
        <v>300</v>
      </c>
      <c r="H52" s="202">
        <v>300</v>
      </c>
      <c r="I52" s="214" t="s">
        <v>286</v>
      </c>
    </row>
    <row r="53" spans="1:9" x14ac:dyDescent="0.35">
      <c r="A53" s="194"/>
      <c r="B53" s="201" t="s">
        <v>159</v>
      </c>
      <c r="C53" s="202"/>
      <c r="D53" s="202"/>
      <c r="E53" s="202"/>
      <c r="F53" s="202"/>
      <c r="G53" s="202"/>
      <c r="H53" s="202"/>
      <c r="I53" s="3"/>
    </row>
    <row r="54" spans="1:9" ht="43.5" x14ac:dyDescent="0.35">
      <c r="A54" s="194"/>
      <c r="B54" s="200" t="s">
        <v>79</v>
      </c>
      <c r="C54" s="202">
        <v>608952.06000000006</v>
      </c>
      <c r="D54" s="202">
        <v>645000</v>
      </c>
      <c r="E54" s="202">
        <v>506392.37</v>
      </c>
      <c r="F54" s="202">
        <v>645000</v>
      </c>
      <c r="G54" s="202">
        <v>645000</v>
      </c>
      <c r="H54" s="202">
        <v>645000</v>
      </c>
      <c r="I54" s="214" t="s">
        <v>295</v>
      </c>
    </row>
    <row r="55" spans="1:9" ht="33" customHeight="1" x14ac:dyDescent="0.35">
      <c r="B55" s="208" t="s">
        <v>285</v>
      </c>
      <c r="C55" s="208">
        <f>SUM(C46,C40,C34,C29,C5)</f>
        <v>1864182.25</v>
      </c>
      <c r="D55" s="208">
        <f t="shared" ref="D55:H55" si="8">SUM(D46,D40,D34,D29,D5)</f>
        <v>1816500</v>
      </c>
      <c r="E55" s="208">
        <f t="shared" si="8"/>
        <v>1041902.1400000001</v>
      </c>
      <c r="F55" s="208">
        <f t="shared" si="8"/>
        <v>1849839</v>
      </c>
      <c r="G55" s="208">
        <f t="shared" si="8"/>
        <v>1865037</v>
      </c>
      <c r="H55" s="208">
        <f t="shared" si="8"/>
        <v>1870933</v>
      </c>
    </row>
  </sheetData>
  <mergeCells count="4">
    <mergeCell ref="B2:G2"/>
    <mergeCell ref="I31:I33"/>
    <mergeCell ref="I18:I24"/>
    <mergeCell ref="I26:I28"/>
  </mergeCells>
  <pageMargins left="0.70866141732283472" right="0.70866141732283472" top="0.74803149606299213" bottom="0.55118110236220474" header="0.31496062992125984" footer="0.31496062992125984"/>
  <pageSetup paperSize="9" scale="78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9508-80A8-4E35-89F3-4709E946CDED}">
  <dimension ref="A2:AR159"/>
  <sheetViews>
    <sheetView topLeftCell="A63" zoomScale="130" zoomScaleNormal="130" workbookViewId="0">
      <selection activeCell="AH150" sqref="AH150"/>
    </sheetView>
  </sheetViews>
  <sheetFormatPr defaultRowHeight="14.5" x14ac:dyDescent="0.35"/>
  <cols>
    <col min="1" max="1" width="5.81640625" customWidth="1"/>
    <col min="2" max="6" width="9.1796875" hidden="1" customWidth="1"/>
    <col min="7" max="7" width="48.54296875" style="2" customWidth="1"/>
    <col min="8" max="9" width="8.81640625" hidden="1" customWidth="1"/>
    <col min="10" max="10" width="0" hidden="1" customWidth="1"/>
    <col min="11" max="11" width="10.54296875" hidden="1" customWidth="1"/>
    <col min="12" max="13" width="10" hidden="1" customWidth="1"/>
    <col min="14" max="14" width="9.54296875" customWidth="1"/>
    <col min="15" max="15" width="10.54296875" hidden="1" customWidth="1"/>
    <col min="16" max="17" width="10.1796875" hidden="1" customWidth="1"/>
    <col min="18" max="18" width="9.54296875" hidden="1" customWidth="1"/>
    <col min="19" max="19" width="10.1796875" customWidth="1"/>
    <col min="20" max="20" width="12.453125" hidden="1" customWidth="1"/>
    <col min="21" max="21" width="10.1796875" hidden="1" customWidth="1"/>
    <col min="22" max="23" width="9.54296875" hidden="1" customWidth="1"/>
    <col min="24" max="24" width="6.81640625" hidden="1" customWidth="1"/>
    <col min="25" max="25" width="11.54296875" hidden="1" customWidth="1"/>
    <col min="26" max="26" width="11.453125" hidden="1" customWidth="1"/>
    <col min="27" max="27" width="10.1796875" hidden="1" customWidth="1"/>
    <col min="28" max="28" width="11.453125" hidden="1" customWidth="1"/>
    <col min="29" max="29" width="8" hidden="1" customWidth="1"/>
    <col min="30" max="30" width="12.1796875" hidden="1" customWidth="1"/>
    <col min="31" max="31" width="9.81640625" customWidth="1"/>
    <col min="32" max="32" width="10.1796875" customWidth="1"/>
    <col min="33" max="33" width="10.1796875" hidden="1" customWidth="1"/>
    <col min="34" max="34" width="12.54296875" customWidth="1"/>
    <col min="35" max="35" width="11.81640625" customWidth="1"/>
    <col min="36" max="36" width="9.1796875" customWidth="1"/>
    <col min="37" max="37" width="9.54296875" customWidth="1"/>
    <col min="38" max="38" width="10.81640625" hidden="1" customWidth="1"/>
    <col min="39" max="39" width="8.81640625" hidden="1" customWidth="1"/>
    <col min="40" max="40" width="7.81640625" hidden="1" customWidth="1"/>
    <col min="41" max="41" width="10.453125" hidden="1" customWidth="1"/>
    <col min="42" max="42" width="8.54296875" hidden="1" customWidth="1"/>
    <col min="43" max="43" width="10" hidden="1" customWidth="1"/>
    <col min="44" max="44" width="8" hidden="1" customWidth="1"/>
  </cols>
  <sheetData>
    <row r="2" spans="1:44" x14ac:dyDescent="0.35">
      <c r="A2" s="342" t="s">
        <v>223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</row>
    <row r="3" spans="1:44" x14ac:dyDescent="0.35">
      <c r="A3" s="189"/>
      <c r="B3" s="189"/>
      <c r="C3" s="189"/>
      <c r="D3" s="189"/>
      <c r="E3" s="189"/>
      <c r="F3" s="189"/>
      <c r="G3" s="189"/>
      <c r="H3" s="189"/>
      <c r="I3" s="189"/>
      <c r="Q3" s="57">
        <v>42948</v>
      </c>
    </row>
    <row r="4" spans="1:44" ht="24" customHeight="1" x14ac:dyDescent="0.35">
      <c r="A4" s="343" t="s">
        <v>18</v>
      </c>
      <c r="B4" s="343"/>
      <c r="C4" s="343"/>
      <c r="D4" s="343"/>
      <c r="E4" s="343"/>
      <c r="F4" s="343"/>
      <c r="G4" s="343"/>
      <c r="H4" s="356" t="s">
        <v>20</v>
      </c>
      <c r="I4" s="344" t="s">
        <v>85</v>
      </c>
      <c r="J4" s="344" t="s">
        <v>123</v>
      </c>
      <c r="K4" s="344" t="s">
        <v>86</v>
      </c>
      <c r="L4" s="344" t="s">
        <v>124</v>
      </c>
      <c r="M4" s="344" t="s">
        <v>62</v>
      </c>
      <c r="N4" s="344" t="s">
        <v>125</v>
      </c>
      <c r="O4" s="343" t="s">
        <v>32</v>
      </c>
      <c r="P4" s="343"/>
      <c r="Q4" s="344" t="s">
        <v>69</v>
      </c>
      <c r="R4" s="356" t="s">
        <v>55</v>
      </c>
      <c r="S4" s="344" t="s">
        <v>174</v>
      </c>
      <c r="T4" s="343" t="s">
        <v>82</v>
      </c>
      <c r="U4" s="343"/>
      <c r="V4" s="356" t="s">
        <v>56</v>
      </c>
      <c r="W4" s="356" t="s">
        <v>57</v>
      </c>
      <c r="Y4" s="357" t="s">
        <v>117</v>
      </c>
      <c r="Z4" s="358"/>
      <c r="AA4" s="358"/>
      <c r="AB4" s="358"/>
      <c r="AC4" s="359"/>
      <c r="AD4" s="356" t="s">
        <v>56</v>
      </c>
      <c r="AE4" s="344" t="s">
        <v>217</v>
      </c>
      <c r="AF4" s="356" t="s">
        <v>204</v>
      </c>
      <c r="AG4" s="344" t="s">
        <v>236</v>
      </c>
      <c r="AH4" s="356" t="s">
        <v>249</v>
      </c>
      <c r="AI4" s="344" t="s">
        <v>224</v>
      </c>
      <c r="AJ4" s="356" t="s">
        <v>232</v>
      </c>
      <c r="AK4" s="356"/>
      <c r="AL4" s="357" t="s">
        <v>209</v>
      </c>
      <c r="AM4" s="358"/>
      <c r="AN4" s="358"/>
      <c r="AO4" s="358"/>
      <c r="AP4" s="358"/>
      <c r="AQ4" s="358"/>
      <c r="AR4" s="359"/>
    </row>
    <row r="5" spans="1:44" ht="77.150000000000006" customHeight="1" x14ac:dyDescent="0.35">
      <c r="A5" s="343"/>
      <c r="B5" s="343"/>
      <c r="C5" s="343"/>
      <c r="D5" s="343"/>
      <c r="E5" s="343"/>
      <c r="F5" s="343"/>
      <c r="G5" s="343"/>
      <c r="H5" s="356"/>
      <c r="I5" s="345"/>
      <c r="J5" s="345"/>
      <c r="K5" s="345"/>
      <c r="L5" s="345"/>
      <c r="M5" s="345"/>
      <c r="N5" s="345"/>
      <c r="O5" s="7" t="s">
        <v>21</v>
      </c>
      <c r="P5" s="7" t="s">
        <v>22</v>
      </c>
      <c r="Q5" s="345"/>
      <c r="R5" s="356"/>
      <c r="S5" s="345"/>
      <c r="T5" s="7" t="s">
        <v>21</v>
      </c>
      <c r="U5" s="7" t="s">
        <v>22</v>
      </c>
      <c r="V5" s="356"/>
      <c r="W5" s="356"/>
      <c r="Y5" s="186" t="s">
        <v>118</v>
      </c>
      <c r="Z5" s="186" t="s">
        <v>119</v>
      </c>
      <c r="AA5" s="186" t="s">
        <v>120</v>
      </c>
      <c r="AB5" s="186" t="s">
        <v>122</v>
      </c>
      <c r="AC5" s="186" t="s">
        <v>121</v>
      </c>
      <c r="AD5" s="356"/>
      <c r="AE5" s="345"/>
      <c r="AF5" s="356"/>
      <c r="AG5" s="345"/>
      <c r="AH5" s="356"/>
      <c r="AI5" s="345"/>
      <c r="AJ5" s="188" t="s">
        <v>21</v>
      </c>
      <c r="AK5" s="188" t="s">
        <v>22</v>
      </c>
      <c r="AL5" s="186" t="s">
        <v>118</v>
      </c>
      <c r="AM5" s="186" t="s">
        <v>210</v>
      </c>
      <c r="AN5" s="186" t="s">
        <v>211</v>
      </c>
      <c r="AO5" s="186" t="s">
        <v>119</v>
      </c>
      <c r="AP5" s="186" t="s">
        <v>120</v>
      </c>
      <c r="AQ5" s="186" t="s">
        <v>122</v>
      </c>
      <c r="AR5" s="186" t="s">
        <v>121</v>
      </c>
    </row>
    <row r="6" spans="1:44" ht="34.5" customHeight="1" x14ac:dyDescent="0.35">
      <c r="A6" s="335" t="s">
        <v>126</v>
      </c>
      <c r="B6" s="336"/>
      <c r="C6" s="336"/>
      <c r="D6" s="336"/>
      <c r="E6" s="336"/>
      <c r="F6" s="336"/>
      <c r="G6" s="337"/>
      <c r="H6" s="35">
        <f>SUM(H9,H28,H29,H30,H31,H32,H33)</f>
        <v>7575880</v>
      </c>
      <c r="I6" s="35"/>
      <c r="J6" s="35">
        <f t="shared" ref="J6:S6" si="0">SUM(J9,J28,J29,J30,J31,J32,J33)</f>
        <v>9086223</v>
      </c>
      <c r="K6" s="35">
        <f t="shared" si="0"/>
        <v>8838271.4000000004</v>
      </c>
      <c r="L6" s="35">
        <f t="shared" si="0"/>
        <v>9200000</v>
      </c>
      <c r="M6" s="35">
        <f t="shared" si="0"/>
        <v>9244134.879999999</v>
      </c>
      <c r="N6" s="35">
        <f t="shared" si="0"/>
        <v>9003000</v>
      </c>
      <c r="O6" s="35" t="e">
        <f t="shared" si="0"/>
        <v>#DIV/0!</v>
      </c>
      <c r="P6" s="35">
        <f t="shared" si="0"/>
        <v>-197000</v>
      </c>
      <c r="Q6" s="35">
        <f t="shared" si="0"/>
        <v>41917.58</v>
      </c>
      <c r="R6" s="35">
        <f t="shared" si="0"/>
        <v>9002600</v>
      </c>
      <c r="S6" s="35">
        <f t="shared" si="0"/>
        <v>15087000</v>
      </c>
      <c r="T6" s="36">
        <f>S6/N6*1-1</f>
        <v>0.6757747417527491</v>
      </c>
      <c r="U6" s="35">
        <f>S6-N6</f>
        <v>6084000</v>
      </c>
      <c r="V6" s="35">
        <f>SUM(V9:V33)</f>
        <v>153900</v>
      </c>
      <c r="W6" s="35">
        <f>SUM(W9:W33)</f>
        <v>153900</v>
      </c>
      <c r="Y6" s="35">
        <f t="shared" ref="Y6:AE6" si="1">SUM(Y9,Y28,Y29,Y30,Y31,Y32,Y33)</f>
        <v>15087000</v>
      </c>
      <c r="Z6" s="35">
        <f t="shared" si="1"/>
        <v>0</v>
      </c>
      <c r="AA6" s="35">
        <f t="shared" si="1"/>
        <v>0</v>
      </c>
      <c r="AB6" s="35">
        <f t="shared" si="1"/>
        <v>0</v>
      </c>
      <c r="AC6" s="35">
        <f t="shared" si="1"/>
        <v>0</v>
      </c>
      <c r="AD6" s="35">
        <f t="shared" si="1"/>
        <v>15321000</v>
      </c>
      <c r="AE6" s="35">
        <f t="shared" si="1"/>
        <v>15438000</v>
      </c>
      <c r="AF6" s="35">
        <f>SUM(AF9,AF28,AF29,AF30,AF31,AF32,AF33)</f>
        <v>16070000</v>
      </c>
      <c r="AG6" s="35">
        <f>SUM(AG9,AG28,AG29,AG30,AG31,AG32,AG33,AG67)</f>
        <v>231560</v>
      </c>
      <c r="AH6" s="35">
        <f>SUM(AH9,AH28,AH29,AH30,AH31,AH32,AH33)</f>
        <v>15430422.529999997</v>
      </c>
      <c r="AI6" s="35">
        <f>SUM(AI9,AI28,AI29,AI30,AI31,AI32,AI33,AI67)</f>
        <v>15175000</v>
      </c>
      <c r="AJ6" s="36">
        <f>AI6/AF6*1-1</f>
        <v>-5.569383945239581E-2</v>
      </c>
      <c r="AK6" s="35">
        <f>AI6-AF6</f>
        <v>-895000</v>
      </c>
      <c r="AL6" s="35">
        <f>SUM(AL9,AL28,AL29,AL30,AL31,AL32,AL33)</f>
        <v>13537070</v>
      </c>
      <c r="AM6" s="35">
        <f t="shared" ref="AM6:AN6" si="2">SUM(AM9,AM28,AM29,AM30,AM31,AM32,AM33)</f>
        <v>2176930</v>
      </c>
      <c r="AN6" s="35">
        <f t="shared" si="2"/>
        <v>0</v>
      </c>
      <c r="AO6" s="35">
        <f>SUM(AO9,AO28,AO29,AO30,AO31,AO32,AO33)</f>
        <v>0</v>
      </c>
      <c r="AP6" s="35">
        <f>SUM(AP9,AP28,AP29,AP30,AP31,AP32,AP33)</f>
        <v>0</v>
      </c>
      <c r="AQ6" s="35">
        <f>SUM(AQ9,AQ28,AQ29,AQ30,AQ31,AQ32,AQ33)</f>
        <v>0</v>
      </c>
      <c r="AR6" s="35">
        <f>SUM(AR9,AR28,AR29,AR30,AR31,AR32,AR33)</f>
        <v>0</v>
      </c>
    </row>
    <row r="7" spans="1:44" ht="24" customHeight="1" x14ac:dyDescent="0.35">
      <c r="A7" s="338" t="s">
        <v>1</v>
      </c>
      <c r="B7" s="338"/>
      <c r="C7" s="338"/>
      <c r="D7" s="338"/>
      <c r="E7" s="338"/>
      <c r="F7" s="338"/>
      <c r="G7" s="338"/>
      <c r="H7" s="8">
        <v>67.78</v>
      </c>
      <c r="I7" s="8"/>
      <c r="J7" s="8">
        <v>72.8</v>
      </c>
      <c r="K7" s="8"/>
      <c r="L7" s="8">
        <v>75.489999999999995</v>
      </c>
      <c r="M7" s="8"/>
      <c r="N7" s="8">
        <v>78.17</v>
      </c>
      <c r="O7" s="3"/>
      <c r="P7" s="3"/>
      <c r="Q7" s="3"/>
      <c r="R7" s="8">
        <v>78.17</v>
      </c>
      <c r="S7" s="138" t="s">
        <v>237</v>
      </c>
      <c r="T7" s="3"/>
      <c r="U7" s="3"/>
      <c r="V7" s="8">
        <v>78.17</v>
      </c>
      <c r="W7" s="8">
        <v>78.17</v>
      </c>
      <c r="Y7" s="8" t="s">
        <v>88</v>
      </c>
      <c r="Z7" s="8"/>
      <c r="AA7" s="8"/>
      <c r="AB7" s="8"/>
      <c r="AC7" s="8"/>
      <c r="AD7" s="97" t="s">
        <v>154</v>
      </c>
      <c r="AE7" s="163" t="s">
        <v>238</v>
      </c>
      <c r="AF7" s="164" t="s">
        <v>212</v>
      </c>
      <c r="AG7" s="164"/>
      <c r="AH7" s="164"/>
      <c r="AI7" s="164" t="s">
        <v>247</v>
      </c>
      <c r="AJ7" s="165"/>
      <c r="AK7" s="165"/>
      <c r="AL7" s="8"/>
      <c r="AM7" s="8"/>
      <c r="AN7" s="8"/>
      <c r="AO7" s="8"/>
      <c r="AP7" s="8"/>
      <c r="AQ7" s="8"/>
      <c r="AR7" s="8"/>
    </row>
    <row r="8" spans="1:44" x14ac:dyDescent="0.35">
      <c r="A8" s="187"/>
      <c r="B8" s="187"/>
      <c r="C8" s="187"/>
      <c r="D8" s="187"/>
      <c r="E8" s="187"/>
      <c r="F8" s="187"/>
      <c r="G8" s="187" t="s">
        <v>158</v>
      </c>
      <c r="H8" s="8"/>
      <c r="I8" s="8"/>
      <c r="J8" s="8"/>
      <c r="K8" s="8"/>
      <c r="L8" s="8"/>
      <c r="M8" s="8"/>
      <c r="N8" s="8">
        <v>0.99099999999999999</v>
      </c>
      <c r="O8" s="3"/>
      <c r="P8" s="3"/>
      <c r="Q8" s="3"/>
      <c r="R8" s="8"/>
      <c r="S8" s="97">
        <v>0.99099999999999999</v>
      </c>
      <c r="T8" s="3"/>
      <c r="U8" s="3"/>
      <c r="V8" s="8"/>
      <c r="W8" s="8"/>
      <c r="Y8" s="8"/>
      <c r="Z8" s="8"/>
      <c r="AA8" s="8"/>
      <c r="AB8" s="8"/>
      <c r="AC8" s="8"/>
      <c r="AD8" s="8">
        <v>0.98799999999999999</v>
      </c>
      <c r="AE8" s="97">
        <v>0.99299999999999999</v>
      </c>
      <c r="AF8" s="97">
        <v>0.92149999999999999</v>
      </c>
      <c r="AG8" s="97"/>
      <c r="AH8" s="97"/>
      <c r="AI8" s="190">
        <v>0.874</v>
      </c>
      <c r="AJ8" s="3"/>
      <c r="AK8" s="3"/>
      <c r="AL8" s="8"/>
      <c r="AM8" s="8"/>
      <c r="AN8" s="8"/>
      <c r="AO8" s="8"/>
      <c r="AP8" s="8"/>
      <c r="AQ8" s="8"/>
      <c r="AR8" s="8"/>
    </row>
    <row r="9" spans="1:44" ht="30" customHeight="1" x14ac:dyDescent="0.35">
      <c r="A9" s="8" t="s">
        <v>5</v>
      </c>
      <c r="B9" s="8"/>
      <c r="C9" s="8"/>
      <c r="D9" s="8"/>
      <c r="E9" s="8"/>
      <c r="F9" s="8"/>
      <c r="G9" s="10" t="s">
        <v>90</v>
      </c>
      <c r="H9" s="9">
        <f>SUM(H10:H13)</f>
        <v>7423830</v>
      </c>
      <c r="I9" s="9"/>
      <c r="J9" s="9">
        <f t="shared" ref="J9:S9" si="3">SUM(J10:J13)</f>
        <v>8927221</v>
      </c>
      <c r="K9" s="9">
        <f t="shared" si="3"/>
        <v>8739083.7699999996</v>
      </c>
      <c r="L9" s="9">
        <f t="shared" si="3"/>
        <v>9054000</v>
      </c>
      <c r="M9" s="9">
        <f t="shared" si="3"/>
        <v>9016298.6799999997</v>
      </c>
      <c r="N9" s="9">
        <f t="shared" si="3"/>
        <v>8833000</v>
      </c>
      <c r="O9" s="9">
        <f t="shared" si="3"/>
        <v>9.8956472247655469E-2</v>
      </c>
      <c r="P9" s="9">
        <f t="shared" si="3"/>
        <v>-221000</v>
      </c>
      <c r="Q9" s="9">
        <f t="shared" si="3"/>
        <v>0</v>
      </c>
      <c r="R9" s="9">
        <f t="shared" si="3"/>
        <v>8833000</v>
      </c>
      <c r="S9" s="9">
        <f t="shared" si="3"/>
        <v>14916000</v>
      </c>
      <c r="T9" s="11">
        <f>S9/N9*1-1</f>
        <v>0.68866749688667506</v>
      </c>
      <c r="U9" s="9">
        <f>S9-N9</f>
        <v>6083000</v>
      </c>
      <c r="V9" s="8"/>
      <c r="W9" s="8"/>
      <c r="Y9" s="9">
        <f t="shared" ref="Y9:AE9" si="4">SUM(Y10:Y13)</f>
        <v>14916000</v>
      </c>
      <c r="Z9" s="9">
        <f t="shared" si="4"/>
        <v>0</v>
      </c>
      <c r="AA9" s="9">
        <f t="shared" si="4"/>
        <v>0</v>
      </c>
      <c r="AB9" s="9">
        <f t="shared" si="4"/>
        <v>0</v>
      </c>
      <c r="AC9" s="9">
        <f t="shared" si="4"/>
        <v>0</v>
      </c>
      <c r="AD9" s="9">
        <f t="shared" si="4"/>
        <v>15153000</v>
      </c>
      <c r="AE9" s="9">
        <f t="shared" si="4"/>
        <v>15270000</v>
      </c>
      <c r="AF9" s="9">
        <f>SUM(AF10,AF11,AF13,AF27)</f>
        <v>15814000</v>
      </c>
      <c r="AG9" s="9">
        <f>SUM(AG10,AG11,AG13,AG27)</f>
        <v>0</v>
      </c>
      <c r="AH9" s="9">
        <v>14943114.619999999</v>
      </c>
      <c r="AI9" s="9">
        <f>SUM(AI12,AI10,AI11,AI13,AI27)</f>
        <v>14949000</v>
      </c>
      <c r="AJ9" s="11">
        <f>AI9/AF9*1-1</f>
        <v>-5.4698368534210173E-2</v>
      </c>
      <c r="AK9" s="9">
        <f>AI9-AF9</f>
        <v>-865000</v>
      </c>
      <c r="AL9" s="9">
        <f>SUM(AL10,AL11,AL13,AL27)</f>
        <v>13311070</v>
      </c>
      <c r="AM9" s="9">
        <f>SUM(AM10,AM11,AM13,AM27)</f>
        <v>2176930</v>
      </c>
      <c r="AN9" s="9"/>
      <c r="AO9" s="9">
        <f>SUM(AO10:AO13)</f>
        <v>0</v>
      </c>
      <c r="AP9" s="9">
        <f>SUM(AP10:AP13)</f>
        <v>0</v>
      </c>
      <c r="AQ9" s="9">
        <f>SUM(AQ10:AQ13)</f>
        <v>0</v>
      </c>
      <c r="AR9" s="9">
        <f>SUM(AR10:AR13)</f>
        <v>0</v>
      </c>
    </row>
    <row r="10" spans="1:44" ht="30" customHeight="1" x14ac:dyDescent="0.35">
      <c r="A10" s="8"/>
      <c r="B10" s="8"/>
      <c r="C10" s="8"/>
      <c r="D10" s="8"/>
      <c r="E10" s="8"/>
      <c r="F10" s="8"/>
      <c r="G10" s="159" t="s">
        <v>91</v>
      </c>
      <c r="H10" s="160">
        <v>6738879</v>
      </c>
      <c r="I10" s="160"/>
      <c r="J10" s="160">
        <v>8101251</v>
      </c>
      <c r="K10" s="160">
        <v>7826949.3700000001</v>
      </c>
      <c r="L10" s="160">
        <v>8050000</v>
      </c>
      <c r="M10" s="160">
        <v>7946231.2400000002</v>
      </c>
      <c r="N10" s="160">
        <v>7684000</v>
      </c>
      <c r="O10" s="161">
        <f>N10/L10*1-1</f>
        <v>-4.5465838509316736E-2</v>
      </c>
      <c r="P10" s="160">
        <f>N10-L10</f>
        <v>-366000</v>
      </c>
      <c r="Q10" s="160"/>
      <c r="R10" s="160">
        <v>7684000</v>
      </c>
      <c r="S10" s="160">
        <v>11037000</v>
      </c>
      <c r="T10" s="161">
        <f>S10/N10*1-1</f>
        <v>0.43636127017178561</v>
      </c>
      <c r="U10" s="160">
        <f>S10-N10</f>
        <v>3353000</v>
      </c>
      <c r="V10" s="160"/>
      <c r="W10" s="160"/>
      <c r="X10" s="110"/>
      <c r="Y10" s="160">
        <v>11037000</v>
      </c>
      <c r="Z10" s="160"/>
      <c r="AA10" s="160"/>
      <c r="AB10" s="160"/>
      <c r="AC10" s="160"/>
      <c r="AD10" s="160">
        <v>9826000</v>
      </c>
      <c r="AE10" s="160">
        <v>9833000</v>
      </c>
      <c r="AF10" s="162">
        <v>10007000</v>
      </c>
      <c r="AG10" s="162"/>
      <c r="AH10" s="162"/>
      <c r="AI10" s="162">
        <v>9122000</v>
      </c>
      <c r="AJ10" s="161">
        <f>AI10/AF10*1-1</f>
        <v>-8.8438093334665679E-2</v>
      </c>
      <c r="AK10" s="160">
        <f>AI10-AF10</f>
        <v>-885000</v>
      </c>
      <c r="AL10" s="8">
        <f>AF10-AM10</f>
        <v>7830070</v>
      </c>
      <c r="AM10" s="8">
        <v>2176930</v>
      </c>
      <c r="AN10" s="8"/>
      <c r="AO10" s="8"/>
      <c r="AP10" s="8"/>
      <c r="AQ10" s="8"/>
      <c r="AR10" s="8"/>
    </row>
    <row r="11" spans="1:44" ht="27.75" customHeight="1" x14ac:dyDescent="0.35">
      <c r="A11" s="8"/>
      <c r="B11" s="8"/>
      <c r="C11" s="8"/>
      <c r="D11" s="8"/>
      <c r="E11" s="8"/>
      <c r="F11" s="8"/>
      <c r="G11" s="28" t="s">
        <v>127</v>
      </c>
      <c r="H11" s="8">
        <v>684951</v>
      </c>
      <c r="I11" s="8"/>
      <c r="J11" s="8">
        <v>825970</v>
      </c>
      <c r="K11" s="8">
        <v>902776.4</v>
      </c>
      <c r="L11" s="8">
        <v>1004000</v>
      </c>
      <c r="M11" s="8">
        <v>1070067.44</v>
      </c>
      <c r="N11" s="8">
        <v>1149000</v>
      </c>
      <c r="O11" s="37">
        <f>N11/L11*1-1</f>
        <v>0.14442231075697221</v>
      </c>
      <c r="P11" s="8">
        <f>N11-L11</f>
        <v>145000</v>
      </c>
      <c r="Q11" s="8"/>
      <c r="R11" s="65">
        <v>1149000</v>
      </c>
      <c r="S11" s="8">
        <v>966000</v>
      </c>
      <c r="T11" s="37">
        <f>S11/N11*1-1</f>
        <v>-0.15926892950391647</v>
      </c>
      <c r="U11" s="8">
        <f>S11-N11</f>
        <v>-183000</v>
      </c>
      <c r="V11" s="8"/>
      <c r="W11" s="8"/>
      <c r="Y11" s="8">
        <v>966000</v>
      </c>
      <c r="Z11" s="8"/>
      <c r="AA11" s="8"/>
      <c r="AB11" s="8"/>
      <c r="AC11" s="8"/>
      <c r="AD11" s="65">
        <v>1039000</v>
      </c>
      <c r="AE11" s="8">
        <v>1039000</v>
      </c>
      <c r="AF11" s="141">
        <v>892000</v>
      </c>
      <c r="AG11" s="141"/>
      <c r="AH11" s="141"/>
      <c r="AI11" s="141">
        <v>746000</v>
      </c>
      <c r="AJ11" s="37">
        <f>AI11/AF11*1-1</f>
        <v>-0.16367713004484308</v>
      </c>
      <c r="AK11" s="8">
        <f>AI11-AF11</f>
        <v>-146000</v>
      </c>
      <c r="AL11" s="8">
        <f>SUM(AF11)</f>
        <v>892000</v>
      </c>
      <c r="AM11" s="8"/>
      <c r="AN11" s="8"/>
      <c r="AO11" s="8"/>
      <c r="AP11" s="8"/>
      <c r="AQ11" s="8"/>
      <c r="AR11" s="8"/>
    </row>
    <row r="12" spans="1:44" ht="27.75" customHeight="1" x14ac:dyDescent="0.35">
      <c r="A12" s="8"/>
      <c r="B12" s="8"/>
      <c r="C12" s="8"/>
      <c r="D12" s="8"/>
      <c r="E12" s="8"/>
      <c r="F12" s="8"/>
      <c r="G12" s="28" t="s">
        <v>92</v>
      </c>
      <c r="H12" s="8"/>
      <c r="I12" s="8"/>
      <c r="J12" s="8"/>
      <c r="K12" s="8">
        <v>9358</v>
      </c>
      <c r="L12" s="8"/>
      <c r="M12" s="8"/>
      <c r="N12" s="8"/>
      <c r="O12" s="37"/>
      <c r="P12" s="8"/>
      <c r="Q12" s="8"/>
      <c r="R12" s="65"/>
      <c r="S12" s="8"/>
      <c r="T12" s="37"/>
      <c r="U12" s="8"/>
      <c r="V12" s="8"/>
      <c r="W12" s="8"/>
      <c r="Y12" s="8"/>
      <c r="Z12" s="8"/>
      <c r="AA12" s="8"/>
      <c r="AB12" s="8"/>
      <c r="AC12" s="8"/>
      <c r="AD12" s="65"/>
      <c r="AE12" s="8"/>
      <c r="AF12" s="8"/>
      <c r="AG12" s="8"/>
      <c r="AH12" s="8"/>
      <c r="AI12" s="8">
        <v>492000</v>
      </c>
      <c r="AJ12" s="37"/>
      <c r="AK12" s="8">
        <f>AI12-AF12</f>
        <v>492000</v>
      </c>
      <c r="AL12" s="8">
        <f>SUM(AF12)</f>
        <v>0</v>
      </c>
      <c r="AM12" s="8"/>
      <c r="AN12" s="8"/>
      <c r="AO12" s="8"/>
      <c r="AP12" s="8"/>
      <c r="AQ12" s="8"/>
      <c r="AR12" s="8"/>
    </row>
    <row r="13" spans="1:44" ht="30" customHeight="1" x14ac:dyDescent="0.35">
      <c r="A13" s="8"/>
      <c r="B13" s="8"/>
      <c r="C13" s="8"/>
      <c r="D13" s="8"/>
      <c r="E13" s="8"/>
      <c r="F13" s="8"/>
      <c r="G13" s="71" t="s">
        <v>220</v>
      </c>
      <c r="H13" s="60"/>
      <c r="I13" s="60"/>
      <c r="J13" s="60"/>
      <c r="K13" s="60"/>
      <c r="L13" s="60"/>
      <c r="M13" s="60"/>
      <c r="N13" s="60"/>
      <c r="O13" s="61"/>
      <c r="P13" s="60"/>
      <c r="Q13" s="60"/>
      <c r="R13" s="72"/>
      <c r="S13" s="60">
        <f>SUM(S14:S26)</f>
        <v>2913000</v>
      </c>
      <c r="T13" s="61"/>
      <c r="U13" s="60"/>
      <c r="V13" s="8"/>
      <c r="W13" s="8"/>
      <c r="Y13" s="60">
        <f t="shared" ref="Y13:AI13" si="5">SUM(Y14:Y26)</f>
        <v>2913000</v>
      </c>
      <c r="Z13" s="60">
        <f t="shared" si="5"/>
        <v>0</v>
      </c>
      <c r="AA13" s="60">
        <f t="shared" si="5"/>
        <v>0</v>
      </c>
      <c r="AB13" s="60">
        <f t="shared" si="5"/>
        <v>0</v>
      </c>
      <c r="AC13" s="60">
        <f t="shared" si="5"/>
        <v>0</v>
      </c>
      <c r="AD13" s="60">
        <f t="shared" si="5"/>
        <v>4288000</v>
      </c>
      <c r="AE13" s="60">
        <f t="shared" si="5"/>
        <v>4398000</v>
      </c>
      <c r="AF13" s="60">
        <f t="shared" si="5"/>
        <v>4800000</v>
      </c>
      <c r="AG13" s="60"/>
      <c r="AH13" s="60"/>
      <c r="AI13" s="60">
        <f t="shared" si="5"/>
        <v>4589000</v>
      </c>
      <c r="AJ13" s="83">
        <f>AI13/AF13*1-1</f>
        <v>-4.3958333333333321E-2</v>
      </c>
      <c r="AK13" s="82">
        <f>AI13-AF13</f>
        <v>-211000</v>
      </c>
      <c r="AL13" s="60">
        <f>SUM(AL14:AL26)</f>
        <v>4589000</v>
      </c>
      <c r="AM13" s="60"/>
      <c r="AN13" s="60"/>
      <c r="AO13" s="60">
        <f>SUM(AO14:AO26)</f>
        <v>0</v>
      </c>
      <c r="AP13" s="60">
        <f>SUM(AP14:AP26)</f>
        <v>0</v>
      </c>
      <c r="AQ13" s="60">
        <f>SUM(AQ14:AQ26)</f>
        <v>0</v>
      </c>
      <c r="AR13" s="60">
        <f>SUM(AR14:AR26)</f>
        <v>0</v>
      </c>
    </row>
    <row r="14" spans="1:44" ht="15.65" customHeight="1" x14ac:dyDescent="0.35">
      <c r="A14" s="8"/>
      <c r="B14" s="8"/>
      <c r="C14" s="8"/>
      <c r="D14" s="8"/>
      <c r="E14" s="8"/>
      <c r="F14" s="8"/>
      <c r="G14" s="73" t="s">
        <v>89</v>
      </c>
      <c r="H14" s="74"/>
      <c r="I14" s="74"/>
      <c r="J14" s="74"/>
      <c r="K14" s="74"/>
      <c r="L14" s="74"/>
      <c r="M14" s="74"/>
      <c r="N14" s="74"/>
      <c r="O14" s="75"/>
      <c r="P14" s="74"/>
      <c r="Q14" s="74"/>
      <c r="R14" s="76"/>
      <c r="S14" s="63">
        <v>2437000</v>
      </c>
      <c r="T14" s="75"/>
      <c r="U14" s="74"/>
      <c r="V14" s="8"/>
      <c r="W14" s="8"/>
      <c r="Y14" s="63">
        <v>2437000</v>
      </c>
      <c r="Z14" s="63"/>
      <c r="AA14" s="63"/>
      <c r="AB14" s="63"/>
      <c r="AC14" s="63"/>
      <c r="AD14" s="76"/>
      <c r="AE14" s="63"/>
      <c r="AF14" s="63"/>
      <c r="AG14" s="63"/>
      <c r="AH14" s="63"/>
      <c r="AI14" s="63"/>
      <c r="AJ14" s="75"/>
      <c r="AK14" s="74"/>
      <c r="AL14" s="63"/>
      <c r="AM14" s="63"/>
      <c r="AN14" s="63"/>
      <c r="AO14" s="63"/>
      <c r="AP14" s="63"/>
      <c r="AQ14" s="63"/>
      <c r="AR14" s="63"/>
    </row>
    <row r="15" spans="1:44" ht="15.65" customHeight="1" x14ac:dyDescent="0.35">
      <c r="A15" s="8"/>
      <c r="B15" s="8"/>
      <c r="C15" s="8"/>
      <c r="D15" s="8"/>
      <c r="E15" s="8"/>
      <c r="F15" s="8"/>
      <c r="G15" s="73" t="s">
        <v>156</v>
      </c>
      <c r="H15" s="74"/>
      <c r="I15" s="74"/>
      <c r="J15" s="74"/>
      <c r="K15" s="74"/>
      <c r="L15" s="74"/>
      <c r="M15" s="74"/>
      <c r="N15" s="74"/>
      <c r="O15" s="75"/>
      <c r="P15" s="74"/>
      <c r="Q15" s="74"/>
      <c r="R15" s="76"/>
      <c r="S15" s="63"/>
      <c r="T15" s="75"/>
      <c r="U15" s="74"/>
      <c r="V15" s="8"/>
      <c r="W15" s="8"/>
      <c r="Y15" s="63"/>
      <c r="Z15" s="63"/>
      <c r="AA15" s="63"/>
      <c r="AB15" s="63"/>
      <c r="AC15" s="63"/>
      <c r="AD15" s="76">
        <v>1027000</v>
      </c>
      <c r="AE15" s="63">
        <v>1134000</v>
      </c>
      <c r="AF15" s="63">
        <v>1019000</v>
      </c>
      <c r="AG15" s="63"/>
      <c r="AH15" s="63"/>
      <c r="AI15" s="63">
        <v>477000</v>
      </c>
      <c r="AJ15" s="75"/>
      <c r="AK15" s="74"/>
      <c r="AL15" s="74">
        <f>SUM(AI15)</f>
        <v>477000</v>
      </c>
      <c r="AM15" s="63"/>
      <c r="AN15" s="63"/>
      <c r="AO15" s="63"/>
      <c r="AP15" s="63"/>
      <c r="AQ15" s="63"/>
      <c r="AR15" s="63"/>
    </row>
    <row r="16" spans="1:44" ht="33" customHeight="1" x14ac:dyDescent="0.35">
      <c r="A16" s="8"/>
      <c r="B16" s="8"/>
      <c r="C16" s="8"/>
      <c r="D16" s="8"/>
      <c r="E16" s="8"/>
      <c r="F16" s="8"/>
      <c r="G16" s="77" t="s">
        <v>222</v>
      </c>
      <c r="H16" s="74"/>
      <c r="I16" s="74"/>
      <c r="J16" s="74"/>
      <c r="K16" s="74"/>
      <c r="L16" s="74"/>
      <c r="M16" s="74"/>
      <c r="N16" s="74"/>
      <c r="O16" s="75"/>
      <c r="P16" s="74"/>
      <c r="Q16" s="74"/>
      <c r="R16" s="76"/>
      <c r="S16" s="63">
        <v>29000</v>
      </c>
      <c r="T16" s="75"/>
      <c r="U16" s="74"/>
      <c r="V16" s="8"/>
      <c r="W16" s="8"/>
      <c r="Y16" s="63">
        <v>29000</v>
      </c>
      <c r="Z16" s="63"/>
      <c r="AA16" s="63"/>
      <c r="AB16" s="63"/>
      <c r="AC16" s="63"/>
      <c r="AD16" s="76"/>
      <c r="AE16" s="63"/>
      <c r="AF16" s="63"/>
      <c r="AG16" s="63"/>
      <c r="AH16" s="63"/>
      <c r="AI16" s="63"/>
      <c r="AJ16" s="75"/>
      <c r="AK16" s="74"/>
      <c r="AL16" s="74">
        <f t="shared" ref="AL16:AL27" si="6">SUM(AI16)</f>
        <v>0</v>
      </c>
      <c r="AM16" s="63"/>
      <c r="AN16" s="63"/>
      <c r="AO16" s="63"/>
      <c r="AP16" s="63"/>
      <c r="AQ16" s="63"/>
      <c r="AR16" s="63"/>
    </row>
    <row r="17" spans="1:44" ht="23.5" customHeight="1" x14ac:dyDescent="0.35">
      <c r="A17" s="8"/>
      <c r="B17" s="8"/>
      <c r="C17" s="8"/>
      <c r="D17" s="8"/>
      <c r="E17" s="8"/>
      <c r="F17" s="8"/>
      <c r="G17" s="78" t="s">
        <v>155</v>
      </c>
      <c r="H17" s="74"/>
      <c r="I17" s="74"/>
      <c r="J17" s="74"/>
      <c r="K17" s="74"/>
      <c r="L17" s="74"/>
      <c r="M17" s="74"/>
      <c r="N17" s="74"/>
      <c r="O17" s="75"/>
      <c r="P17" s="74"/>
      <c r="Q17" s="74"/>
      <c r="R17" s="76"/>
      <c r="S17" s="63"/>
      <c r="T17" s="75"/>
      <c r="U17" s="74"/>
      <c r="V17" s="8"/>
      <c r="W17" s="8"/>
      <c r="Y17" s="63"/>
      <c r="Z17" s="63"/>
      <c r="AA17" s="63"/>
      <c r="AB17" s="63"/>
      <c r="AC17" s="63"/>
      <c r="AD17" s="76">
        <v>-13000</v>
      </c>
      <c r="AE17" s="63">
        <v>-13000</v>
      </c>
      <c r="AF17" s="63"/>
      <c r="AG17" s="63"/>
      <c r="AH17" s="63"/>
      <c r="AI17" s="63"/>
      <c r="AJ17" s="75"/>
      <c r="AK17" s="74"/>
      <c r="AL17" s="74">
        <f t="shared" si="6"/>
        <v>0</v>
      </c>
      <c r="AM17" s="63"/>
      <c r="AN17" s="63"/>
      <c r="AO17" s="63"/>
      <c r="AP17" s="63"/>
      <c r="AQ17" s="63"/>
      <c r="AR17" s="63"/>
    </row>
    <row r="18" spans="1:44" ht="27.75" customHeight="1" x14ac:dyDescent="0.35">
      <c r="A18" s="8"/>
      <c r="B18" s="8"/>
      <c r="C18" s="8"/>
      <c r="D18" s="8"/>
      <c r="E18" s="8"/>
      <c r="F18" s="8"/>
      <c r="G18" s="139" t="s">
        <v>83</v>
      </c>
      <c r="H18" s="74"/>
      <c r="I18" s="74"/>
      <c r="J18" s="74"/>
      <c r="K18" s="74"/>
      <c r="L18" s="74"/>
      <c r="M18" s="74"/>
      <c r="N18" s="74"/>
      <c r="O18" s="75"/>
      <c r="P18" s="74"/>
      <c r="Q18" s="74"/>
      <c r="R18" s="76"/>
      <c r="S18" s="63">
        <v>220000</v>
      </c>
      <c r="T18" s="75"/>
      <c r="U18" s="74"/>
      <c r="V18" s="8"/>
      <c r="W18" s="8"/>
      <c r="Y18" s="63">
        <v>220000</v>
      </c>
      <c r="Z18" s="63"/>
      <c r="AA18" s="63"/>
      <c r="AB18" s="63"/>
      <c r="AC18" s="63"/>
      <c r="AD18" s="76">
        <v>109000</v>
      </c>
      <c r="AE18" s="63">
        <v>109000</v>
      </c>
      <c r="AF18" s="135">
        <v>109000</v>
      </c>
      <c r="AG18" s="135"/>
      <c r="AH18" s="135"/>
      <c r="AI18" s="157">
        <v>109000</v>
      </c>
      <c r="AJ18" s="75"/>
      <c r="AK18" s="74"/>
      <c r="AL18" s="74">
        <f t="shared" si="6"/>
        <v>109000</v>
      </c>
      <c r="AM18" s="63"/>
      <c r="AN18" s="63"/>
      <c r="AO18" s="63"/>
      <c r="AP18" s="63"/>
      <c r="AQ18" s="63"/>
      <c r="AR18" s="63"/>
    </row>
    <row r="19" spans="1:44" ht="18" customHeight="1" x14ac:dyDescent="0.35">
      <c r="A19" s="8"/>
      <c r="B19" s="8"/>
      <c r="C19" s="8"/>
      <c r="D19" s="8"/>
      <c r="E19" s="8"/>
      <c r="F19" s="8"/>
      <c r="G19" s="139" t="s">
        <v>84</v>
      </c>
      <c r="H19" s="74"/>
      <c r="I19" s="74"/>
      <c r="J19" s="74"/>
      <c r="K19" s="74"/>
      <c r="L19" s="74"/>
      <c r="M19" s="74"/>
      <c r="N19" s="74"/>
      <c r="O19" s="75"/>
      <c r="P19" s="74"/>
      <c r="Q19" s="74"/>
      <c r="R19" s="76"/>
      <c r="S19" s="63">
        <v>141000</v>
      </c>
      <c r="T19" s="75"/>
      <c r="U19" s="74"/>
      <c r="V19" s="8"/>
      <c r="W19" s="8"/>
      <c r="Y19" s="63">
        <v>141000</v>
      </c>
      <c r="Z19" s="63"/>
      <c r="AA19" s="63"/>
      <c r="AB19" s="63"/>
      <c r="AC19" s="63"/>
      <c r="AD19" s="76">
        <v>145000</v>
      </c>
      <c r="AE19" s="63">
        <v>145000</v>
      </c>
      <c r="AF19" s="135">
        <v>186000</v>
      </c>
      <c r="AG19" s="135"/>
      <c r="AH19" s="135"/>
      <c r="AI19" s="157">
        <v>122000</v>
      </c>
      <c r="AJ19" s="75"/>
      <c r="AK19" s="74"/>
      <c r="AL19" s="74">
        <f t="shared" si="6"/>
        <v>122000</v>
      </c>
      <c r="AM19" s="63"/>
      <c r="AN19" s="63"/>
      <c r="AO19" s="63"/>
      <c r="AP19" s="63"/>
      <c r="AQ19" s="63"/>
      <c r="AR19" s="63"/>
    </row>
    <row r="20" spans="1:44" ht="17.149999999999999" customHeight="1" x14ac:dyDescent="0.35">
      <c r="A20" s="8"/>
      <c r="B20" s="8"/>
      <c r="C20" s="8"/>
      <c r="D20" s="8"/>
      <c r="E20" s="8"/>
      <c r="F20" s="8"/>
      <c r="G20" s="139" t="s">
        <v>128</v>
      </c>
      <c r="H20" s="74"/>
      <c r="I20" s="74"/>
      <c r="J20" s="74"/>
      <c r="K20" s="74"/>
      <c r="L20" s="74"/>
      <c r="M20" s="74"/>
      <c r="N20" s="74"/>
      <c r="O20" s="75"/>
      <c r="P20" s="74"/>
      <c r="Q20" s="74"/>
      <c r="R20" s="76"/>
      <c r="S20" s="63">
        <v>86000</v>
      </c>
      <c r="T20" s="75"/>
      <c r="U20" s="74"/>
      <c r="V20" s="8"/>
      <c r="W20" s="8"/>
      <c r="Y20" s="63">
        <v>86000</v>
      </c>
      <c r="Z20" s="63"/>
      <c r="AA20" s="63"/>
      <c r="AB20" s="63"/>
      <c r="AC20" s="63"/>
      <c r="AD20" s="76">
        <v>91000</v>
      </c>
      <c r="AE20" s="63">
        <v>91000</v>
      </c>
      <c r="AF20" s="134">
        <v>121000</v>
      </c>
      <c r="AG20" s="134"/>
      <c r="AH20" s="134"/>
      <c r="AI20" s="158">
        <v>44000</v>
      </c>
      <c r="AJ20" s="75"/>
      <c r="AK20" s="74"/>
      <c r="AL20" s="74">
        <f t="shared" si="6"/>
        <v>44000</v>
      </c>
      <c r="AM20" s="63"/>
      <c r="AN20" s="63"/>
      <c r="AO20" s="63"/>
      <c r="AP20" s="63"/>
      <c r="AQ20" s="63"/>
      <c r="AR20" s="63"/>
    </row>
    <row r="21" spans="1:44" ht="17.149999999999999" customHeight="1" x14ac:dyDescent="0.35">
      <c r="A21" s="8"/>
      <c r="B21" s="8"/>
      <c r="C21" s="8"/>
      <c r="D21" s="8"/>
      <c r="E21" s="8"/>
      <c r="F21" s="8"/>
      <c r="G21" s="139" t="s">
        <v>157</v>
      </c>
      <c r="H21" s="74"/>
      <c r="I21" s="74"/>
      <c r="J21" s="74"/>
      <c r="K21" s="74"/>
      <c r="L21" s="74"/>
      <c r="M21" s="74"/>
      <c r="N21" s="74"/>
      <c r="O21" s="75"/>
      <c r="P21" s="74"/>
      <c r="Q21" s="74"/>
      <c r="R21" s="76"/>
      <c r="S21" s="63"/>
      <c r="T21" s="75"/>
      <c r="U21" s="74"/>
      <c r="V21" s="8"/>
      <c r="W21" s="8"/>
      <c r="Y21" s="63"/>
      <c r="Z21" s="63"/>
      <c r="AA21" s="63"/>
      <c r="AB21" s="63"/>
      <c r="AC21" s="63"/>
      <c r="AD21" s="76">
        <v>16000</v>
      </c>
      <c r="AE21" s="63">
        <v>19000</v>
      </c>
      <c r="AF21" s="63">
        <v>40000</v>
      </c>
      <c r="AG21" s="63"/>
      <c r="AH21" s="63"/>
      <c r="AI21" s="63"/>
      <c r="AJ21" s="75"/>
      <c r="AK21" s="74"/>
      <c r="AL21" s="74">
        <f t="shared" si="6"/>
        <v>0</v>
      </c>
      <c r="AM21" s="63"/>
      <c r="AN21" s="63"/>
      <c r="AO21" s="63"/>
      <c r="AP21" s="63"/>
      <c r="AQ21" s="63"/>
      <c r="AR21" s="63"/>
    </row>
    <row r="22" spans="1:44" ht="76" customHeight="1" x14ac:dyDescent="0.35">
      <c r="A22" s="8"/>
      <c r="B22" s="8"/>
      <c r="C22" s="8"/>
      <c r="D22" s="8"/>
      <c r="E22" s="8"/>
      <c r="F22" s="8"/>
      <c r="G22" s="78" t="s">
        <v>221</v>
      </c>
      <c r="H22" s="74"/>
      <c r="I22" s="74"/>
      <c r="J22" s="74"/>
      <c r="K22" s="74"/>
      <c r="L22" s="74"/>
      <c r="M22" s="74"/>
      <c r="N22" s="74"/>
      <c r="O22" s="75"/>
      <c r="P22" s="74"/>
      <c r="Q22" s="74"/>
      <c r="R22" s="76"/>
      <c r="S22" s="63"/>
      <c r="T22" s="75"/>
      <c r="U22" s="74"/>
      <c r="V22" s="8"/>
      <c r="W22" s="8"/>
      <c r="Y22" s="63"/>
      <c r="Z22" s="63"/>
      <c r="AA22" s="63"/>
      <c r="AB22" s="63"/>
      <c r="AC22" s="63"/>
      <c r="AD22" s="76"/>
      <c r="AE22" s="63"/>
      <c r="AF22" s="63">
        <v>-6000</v>
      </c>
      <c r="AG22" s="63"/>
      <c r="AH22" s="63"/>
      <c r="AI22" s="63"/>
      <c r="AJ22" s="75"/>
      <c r="AK22" s="74"/>
      <c r="AL22" s="74">
        <f t="shared" si="6"/>
        <v>0</v>
      </c>
      <c r="AM22" s="63"/>
      <c r="AN22" s="63"/>
      <c r="AO22" s="63"/>
      <c r="AP22" s="63"/>
      <c r="AQ22" s="63"/>
      <c r="AR22" s="63"/>
    </row>
    <row r="23" spans="1:44" ht="27" customHeight="1" x14ac:dyDescent="0.35">
      <c r="A23" s="8"/>
      <c r="B23" s="8"/>
      <c r="C23" s="8"/>
      <c r="D23" s="8"/>
      <c r="E23" s="8"/>
      <c r="F23" s="8"/>
      <c r="G23" s="78" t="s">
        <v>233</v>
      </c>
      <c r="H23" s="74"/>
      <c r="I23" s="74"/>
      <c r="J23" s="74"/>
      <c r="K23" s="74"/>
      <c r="L23" s="74"/>
      <c r="M23" s="74"/>
      <c r="N23" s="74"/>
      <c r="O23" s="75"/>
      <c r="P23" s="74"/>
      <c r="Q23" s="74"/>
      <c r="R23" s="76"/>
      <c r="S23" s="63"/>
      <c r="T23" s="75"/>
      <c r="U23" s="74"/>
      <c r="V23" s="8"/>
      <c r="W23" s="8"/>
      <c r="Y23" s="63"/>
      <c r="Z23" s="63"/>
      <c r="AA23" s="63"/>
      <c r="AB23" s="63"/>
      <c r="AC23" s="63"/>
      <c r="AD23" s="76"/>
      <c r="AE23" s="63"/>
      <c r="AF23" s="63"/>
      <c r="AG23" s="63"/>
      <c r="AH23" s="63"/>
      <c r="AI23" s="156">
        <v>79000</v>
      </c>
      <c r="AJ23" s="75"/>
      <c r="AK23" s="74"/>
      <c r="AL23" s="74">
        <f t="shared" si="6"/>
        <v>79000</v>
      </c>
      <c r="AM23" s="63"/>
      <c r="AN23" s="63"/>
      <c r="AO23" s="63"/>
      <c r="AP23" s="63"/>
      <c r="AQ23" s="63"/>
      <c r="AR23" s="63"/>
    </row>
    <row r="24" spans="1:44" ht="27" customHeight="1" x14ac:dyDescent="0.35">
      <c r="A24" s="8"/>
      <c r="B24" s="8"/>
      <c r="C24" s="8"/>
      <c r="D24" s="8"/>
      <c r="E24" s="8"/>
      <c r="F24" s="8"/>
      <c r="G24" s="139" t="s">
        <v>234</v>
      </c>
      <c r="H24" s="74"/>
      <c r="I24" s="74"/>
      <c r="J24" s="74"/>
      <c r="K24" s="74"/>
      <c r="L24" s="74"/>
      <c r="M24" s="74"/>
      <c r="N24" s="74"/>
      <c r="O24" s="75"/>
      <c r="P24" s="74"/>
      <c r="Q24" s="74"/>
      <c r="R24" s="76"/>
      <c r="S24" s="63"/>
      <c r="T24" s="75"/>
      <c r="U24" s="74"/>
      <c r="V24" s="8"/>
      <c r="W24" s="8"/>
      <c r="Y24" s="63"/>
      <c r="Z24" s="63"/>
      <c r="AA24" s="63"/>
      <c r="AB24" s="63"/>
      <c r="AC24" s="63"/>
      <c r="AD24" s="76"/>
      <c r="AE24" s="63"/>
      <c r="AF24" s="63"/>
      <c r="AG24" s="63"/>
      <c r="AH24" s="63"/>
      <c r="AI24" s="156">
        <v>6000</v>
      </c>
      <c r="AJ24" s="75"/>
      <c r="AK24" s="74"/>
      <c r="AL24" s="74">
        <f t="shared" si="6"/>
        <v>6000</v>
      </c>
      <c r="AM24" s="63"/>
      <c r="AN24" s="63"/>
      <c r="AO24" s="63"/>
      <c r="AP24" s="63"/>
      <c r="AQ24" s="63"/>
      <c r="AR24" s="63"/>
    </row>
    <row r="25" spans="1:44" ht="20.149999999999999" customHeight="1" x14ac:dyDescent="0.35">
      <c r="A25" s="8"/>
      <c r="B25" s="8"/>
      <c r="C25" s="8"/>
      <c r="D25" s="8"/>
      <c r="E25" s="8"/>
      <c r="F25" s="8"/>
      <c r="G25" s="139" t="s">
        <v>208</v>
      </c>
      <c r="H25" s="74"/>
      <c r="I25" s="74"/>
      <c r="J25" s="74"/>
      <c r="K25" s="74"/>
      <c r="L25" s="74"/>
      <c r="M25" s="74"/>
      <c r="N25" s="74"/>
      <c r="O25" s="75"/>
      <c r="P25" s="74"/>
      <c r="Q25" s="74"/>
      <c r="R25" s="76"/>
      <c r="S25" s="63"/>
      <c r="T25" s="75"/>
      <c r="U25" s="74"/>
      <c r="V25" s="8"/>
      <c r="W25" s="8"/>
      <c r="Y25" s="63"/>
      <c r="Z25" s="63"/>
      <c r="AA25" s="63"/>
      <c r="AB25" s="63"/>
      <c r="AC25" s="63"/>
      <c r="AD25" s="76"/>
      <c r="AE25" s="63"/>
      <c r="AF25" s="63">
        <v>67000</v>
      </c>
      <c r="AG25" s="63"/>
      <c r="AH25" s="63"/>
      <c r="AI25" s="63"/>
      <c r="AJ25" s="75"/>
      <c r="AK25" s="74"/>
      <c r="AL25" s="74">
        <f t="shared" si="6"/>
        <v>0</v>
      </c>
      <c r="AM25" s="63"/>
      <c r="AN25" s="63"/>
      <c r="AO25" s="63"/>
      <c r="AP25" s="63"/>
      <c r="AQ25" s="63"/>
      <c r="AR25" s="63"/>
    </row>
    <row r="26" spans="1:44" ht="31.4" customHeight="1" x14ac:dyDescent="0.35">
      <c r="A26" s="8"/>
      <c r="B26" s="8"/>
      <c r="C26" s="8"/>
      <c r="D26" s="8"/>
      <c r="E26" s="8"/>
      <c r="F26" s="8"/>
      <c r="G26" s="78" t="s">
        <v>205</v>
      </c>
      <c r="H26" s="74"/>
      <c r="I26" s="74"/>
      <c r="J26" s="74"/>
      <c r="K26" s="74"/>
      <c r="L26" s="74"/>
      <c r="M26" s="74"/>
      <c r="N26" s="74"/>
      <c r="O26" s="75"/>
      <c r="P26" s="74"/>
      <c r="Q26" s="74"/>
      <c r="R26" s="76"/>
      <c r="S26" s="63"/>
      <c r="T26" s="75"/>
      <c r="U26" s="74"/>
      <c r="V26" s="8"/>
      <c r="W26" s="8"/>
      <c r="Y26" s="63"/>
      <c r="Z26" s="63"/>
      <c r="AA26" s="63"/>
      <c r="AB26" s="63"/>
      <c r="AC26" s="63"/>
      <c r="AD26" s="76">
        <v>2913000</v>
      </c>
      <c r="AE26" s="63">
        <v>2913000</v>
      </c>
      <c r="AF26" s="63">
        <v>3264000</v>
      </c>
      <c r="AG26" s="63"/>
      <c r="AH26" s="63"/>
      <c r="AI26" s="63">
        <f>SUM(AF18:AF26)-S16</f>
        <v>3752000</v>
      </c>
      <c r="AJ26" s="75"/>
      <c r="AK26" s="74"/>
      <c r="AL26" s="74">
        <f t="shared" si="6"/>
        <v>3752000</v>
      </c>
      <c r="AM26" s="63"/>
      <c r="AN26" s="63"/>
      <c r="AO26" s="63"/>
      <c r="AP26" s="63"/>
      <c r="AQ26" s="63"/>
      <c r="AR26" s="63"/>
    </row>
    <row r="27" spans="1:44" ht="21" customHeight="1" x14ac:dyDescent="0.35">
      <c r="A27" s="8"/>
      <c r="B27" s="8"/>
      <c r="C27" s="8"/>
      <c r="D27" s="8"/>
      <c r="E27" s="8"/>
      <c r="F27" s="8"/>
      <c r="G27" s="133" t="s">
        <v>206</v>
      </c>
      <c r="H27" s="74"/>
      <c r="I27" s="74"/>
      <c r="J27" s="74"/>
      <c r="K27" s="74"/>
      <c r="L27" s="74"/>
      <c r="M27" s="74"/>
      <c r="N27" s="74"/>
      <c r="O27" s="75"/>
      <c r="P27" s="74"/>
      <c r="Q27" s="74"/>
      <c r="R27" s="76"/>
      <c r="S27" s="63"/>
      <c r="T27" s="75"/>
      <c r="U27" s="74"/>
      <c r="V27" s="8"/>
      <c r="W27" s="8"/>
      <c r="Y27" s="63"/>
      <c r="Z27" s="63"/>
      <c r="AA27" s="63"/>
      <c r="AB27" s="63"/>
      <c r="AC27" s="63"/>
      <c r="AD27" s="76"/>
      <c r="AE27" s="63"/>
      <c r="AF27" s="74">
        <v>115000</v>
      </c>
      <c r="AG27" s="74"/>
      <c r="AH27" s="74"/>
      <c r="AI27" s="74"/>
      <c r="AJ27" s="75"/>
      <c r="AK27" s="74"/>
      <c r="AL27" s="74">
        <f t="shared" si="6"/>
        <v>0</v>
      </c>
      <c r="AM27" s="63"/>
      <c r="AN27" s="63"/>
      <c r="AO27" s="63"/>
      <c r="AP27" s="63"/>
      <c r="AQ27" s="63"/>
      <c r="AR27" s="63"/>
    </row>
    <row r="28" spans="1:44" ht="21" customHeight="1" x14ac:dyDescent="0.35">
      <c r="A28" s="8"/>
      <c r="B28" s="8"/>
      <c r="C28" s="8"/>
      <c r="D28" s="8"/>
      <c r="E28" s="8"/>
      <c r="F28" s="8"/>
      <c r="G28" s="10" t="s">
        <v>129</v>
      </c>
      <c r="H28" s="9">
        <v>55028</v>
      </c>
      <c r="I28" s="9"/>
      <c r="J28" s="9">
        <v>72115</v>
      </c>
      <c r="K28" s="9">
        <v>90506.64</v>
      </c>
      <c r="L28" s="9">
        <v>73000</v>
      </c>
      <c r="M28" s="9">
        <v>84443.07</v>
      </c>
      <c r="N28" s="9">
        <v>91000</v>
      </c>
      <c r="O28" s="11">
        <f>N28/L28*1-1</f>
        <v>0.24657534246575352</v>
      </c>
      <c r="P28" s="9">
        <f>N28-L28</f>
        <v>18000</v>
      </c>
      <c r="Q28" s="9"/>
      <c r="R28" s="9">
        <v>81900</v>
      </c>
      <c r="S28" s="9">
        <v>82000</v>
      </c>
      <c r="T28" s="11">
        <f>S28/N28*1-1</f>
        <v>-9.8901098901098883E-2</v>
      </c>
      <c r="U28" s="9">
        <f t="shared" ref="U28:U54" si="7">S28-N28</f>
        <v>-9000</v>
      </c>
      <c r="V28" s="8">
        <v>81900</v>
      </c>
      <c r="W28" s="8">
        <v>81900</v>
      </c>
      <c r="Y28" s="9">
        <v>82000</v>
      </c>
      <c r="Z28" s="9"/>
      <c r="AA28" s="9"/>
      <c r="AB28" s="9"/>
      <c r="AC28" s="9"/>
      <c r="AD28" s="9">
        <v>90000</v>
      </c>
      <c r="AE28" s="9">
        <v>90000</v>
      </c>
      <c r="AF28" s="132">
        <v>120000</v>
      </c>
      <c r="AG28" s="132">
        <v>105000</v>
      </c>
      <c r="AH28" s="132">
        <v>201411.87</v>
      </c>
      <c r="AI28" s="132">
        <v>105000</v>
      </c>
      <c r="AJ28" s="11">
        <f>AI28/AF28*1-1</f>
        <v>-0.125</v>
      </c>
      <c r="AK28" s="9">
        <f>AI28-AF28</f>
        <v>-15000</v>
      </c>
      <c r="AL28" s="9">
        <f>SUM(AI28)</f>
        <v>105000</v>
      </c>
      <c r="AM28" s="9"/>
      <c r="AN28" s="9"/>
      <c r="AO28" s="9"/>
      <c r="AP28" s="9"/>
      <c r="AQ28" s="9"/>
      <c r="AR28" s="9"/>
    </row>
    <row r="29" spans="1:44" ht="18.75" customHeight="1" x14ac:dyDescent="0.35">
      <c r="A29" s="8"/>
      <c r="B29" s="8"/>
      <c r="C29" s="8"/>
      <c r="D29" s="8"/>
      <c r="E29" s="8"/>
      <c r="F29" s="8"/>
      <c r="G29" s="10" t="s">
        <v>93</v>
      </c>
      <c r="H29" s="9">
        <v>2317</v>
      </c>
      <c r="I29" s="9"/>
      <c r="J29" s="9">
        <v>2317</v>
      </c>
      <c r="K29" s="9">
        <v>6444.99</v>
      </c>
      <c r="L29" s="9">
        <v>2000</v>
      </c>
      <c r="M29" s="9">
        <v>7786</v>
      </c>
      <c r="N29" s="9">
        <v>6000</v>
      </c>
      <c r="O29" s="11">
        <f>N29/L29*1-1</f>
        <v>2</v>
      </c>
      <c r="P29" s="9">
        <f>N29-L29</f>
        <v>4000</v>
      </c>
      <c r="Q29" s="9"/>
      <c r="R29" s="9">
        <v>6500</v>
      </c>
      <c r="S29" s="9">
        <v>7000</v>
      </c>
      <c r="T29" s="11">
        <f>S29/N29*1-1</f>
        <v>0.16666666666666674</v>
      </c>
      <c r="U29" s="9">
        <f t="shared" si="7"/>
        <v>1000</v>
      </c>
      <c r="V29" s="8">
        <v>6500</v>
      </c>
      <c r="W29" s="8">
        <v>6500</v>
      </c>
      <c r="Y29" s="9">
        <v>7000</v>
      </c>
      <c r="Z29" s="9"/>
      <c r="AA29" s="9"/>
      <c r="AB29" s="9"/>
      <c r="AC29" s="9"/>
      <c r="AD29" s="9">
        <v>7000</v>
      </c>
      <c r="AE29" s="9">
        <v>7000</v>
      </c>
      <c r="AF29" s="132">
        <v>8000</v>
      </c>
      <c r="AG29" s="132">
        <v>11000</v>
      </c>
      <c r="AH29" s="132">
        <v>12900.03</v>
      </c>
      <c r="AI29" s="132">
        <v>11000</v>
      </c>
      <c r="AJ29" s="11">
        <f>AI29/AF29*1-1</f>
        <v>0.375</v>
      </c>
      <c r="AK29" s="9">
        <f>AI29-AF29</f>
        <v>3000</v>
      </c>
      <c r="AL29" s="9">
        <f t="shared" ref="AL29:AL31" si="8">SUM(AI29)</f>
        <v>11000</v>
      </c>
      <c r="AM29" s="9"/>
      <c r="AN29" s="9"/>
      <c r="AO29" s="9"/>
      <c r="AP29" s="9"/>
      <c r="AQ29" s="9"/>
      <c r="AR29" s="9"/>
    </row>
    <row r="30" spans="1:44" ht="20.25" customHeight="1" x14ac:dyDescent="0.35">
      <c r="A30" s="8"/>
      <c r="B30" s="8"/>
      <c r="C30" s="8"/>
      <c r="D30" s="8"/>
      <c r="E30" s="8"/>
      <c r="F30" s="8"/>
      <c r="G30" s="10" t="s">
        <v>130</v>
      </c>
      <c r="H30" s="9">
        <v>57924</v>
      </c>
      <c r="I30" s="9"/>
      <c r="J30" s="9">
        <v>57924</v>
      </c>
      <c r="K30" s="9"/>
      <c r="L30" s="9">
        <v>58000</v>
      </c>
      <c r="M30" s="9">
        <v>67566.929999999993</v>
      </c>
      <c r="N30" s="9">
        <v>58000</v>
      </c>
      <c r="O30" s="11">
        <f>N30/L30*1-1</f>
        <v>0</v>
      </c>
      <c r="P30" s="9">
        <f>N30-L30</f>
        <v>0</v>
      </c>
      <c r="Q30" s="9">
        <v>3775.31</v>
      </c>
      <c r="R30" s="9">
        <v>65000</v>
      </c>
      <c r="S30" s="9">
        <v>65000</v>
      </c>
      <c r="T30" s="11">
        <f>S30/N30*1-1</f>
        <v>0.1206896551724137</v>
      </c>
      <c r="U30" s="9">
        <f t="shared" si="7"/>
        <v>7000</v>
      </c>
      <c r="V30" s="8">
        <v>65000</v>
      </c>
      <c r="W30" s="8">
        <v>65000</v>
      </c>
      <c r="Y30" s="9">
        <v>65000</v>
      </c>
      <c r="Z30" s="9"/>
      <c r="AA30" s="9"/>
      <c r="AB30" s="9"/>
      <c r="AC30" s="9"/>
      <c r="AD30" s="9">
        <v>66000</v>
      </c>
      <c r="AE30" s="9">
        <v>66000</v>
      </c>
      <c r="AF30" s="9">
        <v>65000</v>
      </c>
      <c r="AG30" s="9">
        <v>65000</v>
      </c>
      <c r="AH30" s="9">
        <v>69261.17</v>
      </c>
      <c r="AI30" s="9">
        <v>65000</v>
      </c>
      <c r="AJ30" s="11">
        <f>AI30/AF30*1-1</f>
        <v>0</v>
      </c>
      <c r="AK30" s="9">
        <f>AI30-AF30</f>
        <v>0</v>
      </c>
      <c r="AL30" s="9">
        <f t="shared" si="8"/>
        <v>65000</v>
      </c>
      <c r="AM30" s="9"/>
      <c r="AN30" s="9"/>
      <c r="AO30" s="9"/>
      <c r="AP30" s="9"/>
      <c r="AQ30" s="9"/>
      <c r="AR30" s="9"/>
    </row>
    <row r="31" spans="1:44" ht="20.25" customHeight="1" x14ac:dyDescent="0.35">
      <c r="A31" s="8"/>
      <c r="B31" s="8"/>
      <c r="C31" s="8"/>
      <c r="D31" s="8"/>
      <c r="E31" s="8"/>
      <c r="F31" s="8"/>
      <c r="G31" s="10" t="s">
        <v>131</v>
      </c>
      <c r="H31" s="9">
        <v>1158</v>
      </c>
      <c r="I31" s="9"/>
      <c r="J31" s="9">
        <v>290</v>
      </c>
      <c r="K31" s="9">
        <v>2236</v>
      </c>
      <c r="L31" s="9"/>
      <c r="M31" s="9">
        <v>2142</v>
      </c>
      <c r="N31" s="9">
        <v>5000</v>
      </c>
      <c r="O31" s="80" t="e">
        <f>N31/L31*1-1</f>
        <v>#DIV/0!</v>
      </c>
      <c r="P31" s="9">
        <f>N31-L31</f>
        <v>5000</v>
      </c>
      <c r="Q31" s="9"/>
      <c r="R31" s="9">
        <v>500</v>
      </c>
      <c r="S31" s="9">
        <v>1000</v>
      </c>
      <c r="T31" s="11">
        <f>S31/N31*1-1</f>
        <v>-0.8</v>
      </c>
      <c r="U31" s="9">
        <f t="shared" si="7"/>
        <v>-4000</v>
      </c>
      <c r="V31" s="8">
        <v>500</v>
      </c>
      <c r="W31" s="8">
        <v>500</v>
      </c>
      <c r="Y31" s="9">
        <v>1000</v>
      </c>
      <c r="Z31" s="9"/>
      <c r="AA31" s="9"/>
      <c r="AB31" s="9"/>
      <c r="AC31" s="9"/>
      <c r="AD31" s="9">
        <v>1000</v>
      </c>
      <c r="AE31" s="9">
        <v>1000</v>
      </c>
      <c r="AF31" s="9">
        <v>2000</v>
      </c>
      <c r="AG31" s="9">
        <v>2000</v>
      </c>
      <c r="AH31" s="9">
        <v>1688</v>
      </c>
      <c r="AI31" s="9">
        <v>2000</v>
      </c>
      <c r="AJ31" s="11">
        <f>AI31/AF31*1-1</f>
        <v>0</v>
      </c>
      <c r="AK31" s="9">
        <f>AI31-AF31</f>
        <v>0</v>
      </c>
      <c r="AL31" s="9">
        <f t="shared" si="8"/>
        <v>2000</v>
      </c>
      <c r="AM31" s="9"/>
      <c r="AN31" s="9"/>
      <c r="AO31" s="9"/>
      <c r="AP31" s="9"/>
      <c r="AQ31" s="9"/>
      <c r="AR31" s="9"/>
    </row>
    <row r="32" spans="1:44" ht="20.25" customHeight="1" x14ac:dyDescent="0.35">
      <c r="A32" s="8"/>
      <c r="B32" s="8"/>
      <c r="C32" s="8"/>
      <c r="D32" s="8"/>
      <c r="E32" s="8"/>
      <c r="F32" s="8"/>
      <c r="G32" s="10" t="s">
        <v>94</v>
      </c>
      <c r="H32" s="9"/>
      <c r="I32" s="9"/>
      <c r="J32" s="9"/>
      <c r="K32" s="9"/>
      <c r="L32" s="9"/>
      <c r="M32" s="9">
        <v>24400</v>
      </c>
      <c r="N32" s="9"/>
      <c r="O32" s="80"/>
      <c r="P32" s="9"/>
      <c r="Q32" s="9">
        <v>15000</v>
      </c>
      <c r="R32" s="9">
        <v>0</v>
      </c>
      <c r="S32" s="9"/>
      <c r="T32" s="11"/>
      <c r="U32" s="9">
        <f t="shared" si="7"/>
        <v>0</v>
      </c>
      <c r="V32" s="8">
        <v>0</v>
      </c>
      <c r="W32" s="8">
        <v>0</v>
      </c>
      <c r="Y32" s="9"/>
      <c r="Z32" s="9"/>
      <c r="AA32" s="9"/>
      <c r="AB32" s="9"/>
      <c r="AC32" s="9"/>
      <c r="AD32" s="9">
        <v>0</v>
      </c>
      <c r="AE32" s="9"/>
      <c r="AF32" s="9"/>
      <c r="AG32" s="9"/>
      <c r="AH32" s="9"/>
      <c r="AI32" s="9"/>
      <c r="AJ32" s="11"/>
      <c r="AK32" s="9">
        <f>AF32-AE32</f>
        <v>0</v>
      </c>
      <c r="AL32" s="9"/>
      <c r="AM32" s="9"/>
      <c r="AN32" s="9"/>
      <c r="AO32" s="9"/>
      <c r="AP32" s="9"/>
      <c r="AQ32" s="9"/>
      <c r="AR32" s="9"/>
    </row>
    <row r="33" spans="1:44" ht="19.5" customHeight="1" x14ac:dyDescent="0.35">
      <c r="A33" s="8"/>
      <c r="B33" s="8"/>
      <c r="C33" s="8"/>
      <c r="D33" s="8"/>
      <c r="E33" s="8"/>
      <c r="F33" s="8"/>
      <c r="G33" s="81" t="s">
        <v>95</v>
      </c>
      <c r="H33" s="82">
        <f>SUM(H54:H63)</f>
        <v>35623</v>
      </c>
      <c r="I33" s="82"/>
      <c r="J33" s="82">
        <f>SUM(J54:J63)</f>
        <v>26356</v>
      </c>
      <c r="K33" s="82"/>
      <c r="L33" s="82">
        <f>SUM(L54:L63)</f>
        <v>13000</v>
      </c>
      <c r="M33" s="82">
        <f>SUM(M54,M60,M61,M63)</f>
        <v>41498.199999999997</v>
      </c>
      <c r="N33" s="82">
        <f>SUM(N54:N60)</f>
        <v>10000</v>
      </c>
      <c r="O33" s="83">
        <f>N33/L33*1-1</f>
        <v>-0.23076923076923073</v>
      </c>
      <c r="P33" s="82">
        <f>N33-L33</f>
        <v>-3000</v>
      </c>
      <c r="Q33" s="82">
        <f>SUM(Q54,Q60,Q61,Q63)</f>
        <v>23142.269999999997</v>
      </c>
      <c r="R33" s="82">
        <f>SUM(R54,R60,R61,R63)</f>
        <v>15700</v>
      </c>
      <c r="S33" s="82">
        <f>SUM(S54,S60,S61,S63)</f>
        <v>16000</v>
      </c>
      <c r="T33" s="83">
        <f>S33/Q33*1-1</f>
        <v>-0.30862443485448909</v>
      </c>
      <c r="U33" s="82">
        <f t="shared" si="7"/>
        <v>6000</v>
      </c>
      <c r="V33" s="60"/>
      <c r="W33" s="60"/>
      <c r="Y33" s="82">
        <f t="shared" ref="Y33:AE33" si="9">SUM(Y54,Y60,Y61,Y63)</f>
        <v>16000</v>
      </c>
      <c r="Z33" s="82">
        <f t="shared" si="9"/>
        <v>0</v>
      </c>
      <c r="AA33" s="82">
        <f t="shared" si="9"/>
        <v>0</v>
      </c>
      <c r="AB33" s="82">
        <f t="shared" si="9"/>
        <v>0</v>
      </c>
      <c r="AC33" s="82">
        <f t="shared" si="9"/>
        <v>0</v>
      </c>
      <c r="AD33" s="82">
        <f t="shared" si="9"/>
        <v>4000</v>
      </c>
      <c r="AE33" s="82">
        <f t="shared" si="9"/>
        <v>4000</v>
      </c>
      <c r="AF33" s="82">
        <f>SUM(AF54,AF60,AF61,AF63)</f>
        <v>61000</v>
      </c>
      <c r="AG33" s="82">
        <f>SUM(AG54,AG60,AG63)</f>
        <v>48200</v>
      </c>
      <c r="AH33" s="82">
        <f>SUM(AH54,AH60,AH61,AH63)</f>
        <v>202046.84</v>
      </c>
      <c r="AI33" s="82">
        <f>SUM(AI54,AI60,AI63)</f>
        <v>43000</v>
      </c>
      <c r="AJ33" s="83">
        <f>AI33/AF33*1-1</f>
        <v>-0.29508196721311475</v>
      </c>
      <c r="AK33" s="82">
        <f>AI33-AF33</f>
        <v>-18000</v>
      </c>
      <c r="AL33" s="82">
        <f>SUM(AL54,AL60,AL61,AL63)</f>
        <v>43000</v>
      </c>
      <c r="AM33" s="82"/>
      <c r="AN33" s="82"/>
      <c r="AO33" s="82">
        <f>SUM(AO54,AO60,AO61,AO63)</f>
        <v>0</v>
      </c>
      <c r="AP33" s="82">
        <f>SUM(AP54,AP60,AP61,AP63)</f>
        <v>0</v>
      </c>
      <c r="AQ33" s="82">
        <f>SUM(AQ54,AQ60,AQ61,AQ63)</f>
        <v>0</v>
      </c>
      <c r="AR33" s="82">
        <f>SUM(AR54,AR60,AR61,AR63)</f>
        <v>0</v>
      </c>
    </row>
    <row r="34" spans="1:44" ht="19.5" customHeight="1" x14ac:dyDescent="0.35">
      <c r="A34" s="8"/>
      <c r="B34" s="8"/>
      <c r="C34" s="8"/>
      <c r="D34" s="8"/>
      <c r="E34" s="8"/>
      <c r="F34" s="8"/>
      <c r="G34" s="81"/>
      <c r="H34" s="82"/>
      <c r="I34" s="82"/>
      <c r="J34" s="82"/>
      <c r="K34" s="82"/>
      <c r="L34" s="82"/>
      <c r="M34" s="82"/>
      <c r="N34" s="82"/>
      <c r="O34" s="83"/>
      <c r="P34" s="82"/>
      <c r="Q34" s="82"/>
      <c r="R34" s="82"/>
      <c r="S34" s="82"/>
      <c r="T34" s="83"/>
      <c r="U34" s="82"/>
      <c r="V34" s="60"/>
      <c r="W34" s="60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3"/>
      <c r="AK34" s="82"/>
      <c r="AL34" s="82"/>
      <c r="AM34" s="82"/>
      <c r="AN34" s="82"/>
      <c r="AO34" s="82"/>
      <c r="AP34" s="82"/>
      <c r="AQ34" s="82"/>
      <c r="AR34" s="82"/>
    </row>
    <row r="35" spans="1:44" ht="19.5" customHeight="1" x14ac:dyDescent="0.35">
      <c r="A35" s="8"/>
      <c r="B35" s="8"/>
      <c r="C35" s="8"/>
      <c r="D35" s="8"/>
      <c r="E35" s="8"/>
      <c r="F35" s="8"/>
      <c r="G35" s="81"/>
      <c r="H35" s="82"/>
      <c r="I35" s="82"/>
      <c r="J35" s="82"/>
      <c r="K35" s="82"/>
      <c r="L35" s="82"/>
      <c r="M35" s="82"/>
      <c r="N35" s="82"/>
      <c r="O35" s="83"/>
      <c r="P35" s="82"/>
      <c r="Q35" s="82"/>
      <c r="R35" s="82"/>
      <c r="S35" s="82"/>
      <c r="T35" s="83"/>
      <c r="U35" s="82"/>
      <c r="V35" s="60"/>
      <c r="W35" s="60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3"/>
      <c r="AK35" s="82"/>
      <c r="AL35" s="82"/>
      <c r="AM35" s="82"/>
      <c r="AN35" s="82"/>
      <c r="AO35" s="82"/>
      <c r="AP35" s="82"/>
      <c r="AQ35" s="82"/>
      <c r="AR35" s="82"/>
    </row>
    <row r="36" spans="1:44" ht="19.5" customHeight="1" x14ac:dyDescent="0.35">
      <c r="A36" s="8"/>
      <c r="B36" s="8"/>
      <c r="C36" s="8"/>
      <c r="D36" s="8"/>
      <c r="E36" s="8"/>
      <c r="F36" s="8"/>
      <c r="G36" s="81"/>
      <c r="H36" s="82"/>
      <c r="I36" s="82"/>
      <c r="J36" s="82"/>
      <c r="K36" s="82"/>
      <c r="L36" s="82"/>
      <c r="M36" s="82"/>
      <c r="N36" s="82"/>
      <c r="O36" s="83"/>
      <c r="P36" s="82"/>
      <c r="Q36" s="82"/>
      <c r="R36" s="82"/>
      <c r="S36" s="82"/>
      <c r="T36" s="83"/>
      <c r="U36" s="82"/>
      <c r="V36" s="60"/>
      <c r="W36" s="60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  <c r="AK36" s="82"/>
      <c r="AL36" s="82"/>
      <c r="AM36" s="82"/>
      <c r="AN36" s="82"/>
      <c r="AO36" s="82"/>
      <c r="AP36" s="82"/>
      <c r="AQ36" s="82"/>
      <c r="AR36" s="82"/>
    </row>
    <row r="37" spans="1:44" ht="19.5" customHeight="1" x14ac:dyDescent="0.35">
      <c r="A37" s="8"/>
      <c r="B37" s="8"/>
      <c r="C37" s="8"/>
      <c r="D37" s="8"/>
      <c r="E37" s="8"/>
      <c r="F37" s="8"/>
      <c r="G37" s="81"/>
      <c r="H37" s="82"/>
      <c r="I37" s="82"/>
      <c r="J37" s="82"/>
      <c r="K37" s="82"/>
      <c r="L37" s="82"/>
      <c r="M37" s="82"/>
      <c r="N37" s="82"/>
      <c r="O37" s="83"/>
      <c r="P37" s="82"/>
      <c r="Q37" s="82"/>
      <c r="R37" s="82"/>
      <c r="S37" s="82"/>
      <c r="T37" s="83"/>
      <c r="U37" s="82"/>
      <c r="V37" s="60"/>
      <c r="W37" s="60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  <c r="AK37" s="82"/>
      <c r="AL37" s="82"/>
      <c r="AM37" s="82"/>
      <c r="AN37" s="82"/>
      <c r="AO37" s="82"/>
      <c r="AP37" s="82"/>
      <c r="AQ37" s="82"/>
      <c r="AR37" s="82"/>
    </row>
    <row r="38" spans="1:44" ht="19.5" customHeight="1" x14ac:dyDescent="0.35">
      <c r="A38" s="8"/>
      <c r="B38" s="8"/>
      <c r="C38" s="8"/>
      <c r="D38" s="8"/>
      <c r="E38" s="8"/>
      <c r="F38" s="8"/>
      <c r="G38" s="81"/>
      <c r="H38" s="82"/>
      <c r="I38" s="82"/>
      <c r="J38" s="82"/>
      <c r="K38" s="82"/>
      <c r="L38" s="82"/>
      <c r="M38" s="82"/>
      <c r="N38" s="82"/>
      <c r="O38" s="83"/>
      <c r="P38" s="82"/>
      <c r="Q38" s="82"/>
      <c r="R38" s="82"/>
      <c r="S38" s="82"/>
      <c r="T38" s="83"/>
      <c r="U38" s="82"/>
      <c r="V38" s="60"/>
      <c r="W38" s="60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3"/>
      <c r="AK38" s="82"/>
      <c r="AL38" s="82"/>
      <c r="AM38" s="82"/>
      <c r="AN38" s="82"/>
      <c r="AO38" s="82"/>
      <c r="AP38" s="82"/>
      <c r="AQ38" s="82"/>
      <c r="AR38" s="82"/>
    </row>
    <row r="39" spans="1:44" ht="19.5" customHeight="1" x14ac:dyDescent="0.35">
      <c r="A39" s="8"/>
      <c r="B39" s="8"/>
      <c r="C39" s="8"/>
      <c r="D39" s="8"/>
      <c r="E39" s="8"/>
      <c r="F39" s="8"/>
      <c r="G39" s="81"/>
      <c r="H39" s="82"/>
      <c r="I39" s="82"/>
      <c r="J39" s="82"/>
      <c r="K39" s="82"/>
      <c r="L39" s="82"/>
      <c r="M39" s="82"/>
      <c r="N39" s="82"/>
      <c r="O39" s="83"/>
      <c r="P39" s="82"/>
      <c r="Q39" s="82"/>
      <c r="R39" s="82"/>
      <c r="S39" s="82"/>
      <c r="T39" s="83"/>
      <c r="U39" s="82"/>
      <c r="V39" s="60"/>
      <c r="W39" s="60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3"/>
      <c r="AK39" s="82"/>
      <c r="AL39" s="82"/>
      <c r="AM39" s="82"/>
      <c r="AN39" s="82"/>
      <c r="AO39" s="82"/>
      <c r="AP39" s="82"/>
      <c r="AQ39" s="82"/>
      <c r="AR39" s="82"/>
    </row>
    <row r="40" spans="1:44" ht="19.5" customHeight="1" x14ac:dyDescent="0.35">
      <c r="A40" s="8"/>
      <c r="B40" s="8"/>
      <c r="C40" s="8"/>
      <c r="D40" s="8"/>
      <c r="E40" s="8"/>
      <c r="F40" s="8"/>
      <c r="G40" s="81"/>
      <c r="H40" s="82"/>
      <c r="I40" s="82"/>
      <c r="J40" s="82"/>
      <c r="K40" s="82"/>
      <c r="L40" s="82"/>
      <c r="M40" s="82"/>
      <c r="N40" s="82"/>
      <c r="O40" s="83"/>
      <c r="P40" s="82"/>
      <c r="Q40" s="82"/>
      <c r="R40" s="82"/>
      <c r="S40" s="82"/>
      <c r="T40" s="83"/>
      <c r="U40" s="82"/>
      <c r="V40" s="60"/>
      <c r="W40" s="60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3"/>
      <c r="AK40" s="82"/>
      <c r="AL40" s="82"/>
      <c r="AM40" s="82"/>
      <c r="AN40" s="82"/>
      <c r="AO40" s="82"/>
      <c r="AP40" s="82"/>
      <c r="AQ40" s="82"/>
      <c r="AR40" s="82"/>
    </row>
    <row r="41" spans="1:44" ht="19.5" customHeight="1" x14ac:dyDescent="0.35">
      <c r="A41" s="8"/>
      <c r="B41" s="8"/>
      <c r="C41" s="8"/>
      <c r="D41" s="8"/>
      <c r="E41" s="8"/>
      <c r="F41" s="8"/>
      <c r="G41" s="81"/>
      <c r="H41" s="82"/>
      <c r="I41" s="82"/>
      <c r="J41" s="82"/>
      <c r="K41" s="82"/>
      <c r="L41" s="82"/>
      <c r="M41" s="82"/>
      <c r="N41" s="82"/>
      <c r="O41" s="83"/>
      <c r="P41" s="82"/>
      <c r="Q41" s="82"/>
      <c r="R41" s="82"/>
      <c r="S41" s="82"/>
      <c r="T41" s="83"/>
      <c r="U41" s="82"/>
      <c r="V41" s="60"/>
      <c r="W41" s="60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3"/>
      <c r="AK41" s="82"/>
      <c r="AL41" s="82"/>
      <c r="AM41" s="82"/>
      <c r="AN41" s="82"/>
      <c r="AO41" s="82"/>
      <c r="AP41" s="82"/>
      <c r="AQ41" s="82"/>
      <c r="AR41" s="82"/>
    </row>
    <row r="42" spans="1:44" ht="19.5" customHeight="1" x14ac:dyDescent="0.35">
      <c r="A42" s="8"/>
      <c r="B42" s="8"/>
      <c r="C42" s="8"/>
      <c r="D42" s="8"/>
      <c r="E42" s="8"/>
      <c r="F42" s="8"/>
      <c r="G42" s="81"/>
      <c r="H42" s="82"/>
      <c r="I42" s="82"/>
      <c r="J42" s="82"/>
      <c r="K42" s="82"/>
      <c r="L42" s="82"/>
      <c r="M42" s="82"/>
      <c r="N42" s="82"/>
      <c r="O42" s="83"/>
      <c r="P42" s="82"/>
      <c r="Q42" s="82"/>
      <c r="R42" s="82"/>
      <c r="S42" s="82"/>
      <c r="T42" s="83"/>
      <c r="U42" s="82"/>
      <c r="V42" s="60"/>
      <c r="W42" s="60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2"/>
      <c r="AL42" s="82"/>
      <c r="AM42" s="82"/>
      <c r="AN42" s="82"/>
      <c r="AO42" s="82"/>
      <c r="AP42" s="82"/>
      <c r="AQ42" s="82"/>
      <c r="AR42" s="82"/>
    </row>
    <row r="43" spans="1:44" ht="19.5" customHeight="1" x14ac:dyDescent="0.35">
      <c r="A43" s="8"/>
      <c r="B43" s="8"/>
      <c r="C43" s="8"/>
      <c r="D43" s="8"/>
      <c r="E43" s="8"/>
      <c r="F43" s="8"/>
      <c r="G43" s="81"/>
      <c r="H43" s="82"/>
      <c r="I43" s="82"/>
      <c r="J43" s="82"/>
      <c r="K43" s="82"/>
      <c r="L43" s="82"/>
      <c r="M43" s="82"/>
      <c r="N43" s="82"/>
      <c r="O43" s="83"/>
      <c r="P43" s="82"/>
      <c r="Q43" s="82"/>
      <c r="R43" s="82"/>
      <c r="S43" s="82"/>
      <c r="T43" s="83"/>
      <c r="U43" s="82"/>
      <c r="V43" s="60"/>
      <c r="W43" s="60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3"/>
      <c r="AK43" s="82"/>
      <c r="AL43" s="82"/>
      <c r="AM43" s="82"/>
      <c r="AN43" s="82"/>
      <c r="AO43" s="82"/>
      <c r="AP43" s="82"/>
      <c r="AQ43" s="82"/>
      <c r="AR43" s="82"/>
    </row>
    <row r="44" spans="1:44" ht="19.5" customHeight="1" x14ac:dyDescent="0.35">
      <c r="A44" s="8"/>
      <c r="B44" s="8"/>
      <c r="C44" s="8"/>
      <c r="D44" s="8"/>
      <c r="E44" s="8"/>
      <c r="F44" s="8"/>
      <c r="G44" s="81"/>
      <c r="H44" s="82"/>
      <c r="I44" s="82"/>
      <c r="J44" s="82"/>
      <c r="K44" s="82"/>
      <c r="L44" s="82"/>
      <c r="M44" s="82"/>
      <c r="N44" s="82"/>
      <c r="O44" s="83"/>
      <c r="P44" s="82"/>
      <c r="Q44" s="82"/>
      <c r="R44" s="82"/>
      <c r="S44" s="82"/>
      <c r="T44" s="83"/>
      <c r="U44" s="82"/>
      <c r="V44" s="60"/>
      <c r="W44" s="60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3"/>
      <c r="AK44" s="82"/>
      <c r="AL44" s="82"/>
      <c r="AM44" s="82"/>
      <c r="AN44" s="82"/>
      <c r="AO44" s="82"/>
      <c r="AP44" s="82"/>
      <c r="AQ44" s="82"/>
      <c r="AR44" s="82"/>
    </row>
    <row r="45" spans="1:44" ht="19.5" customHeight="1" x14ac:dyDescent="0.35">
      <c r="A45" s="8"/>
      <c r="B45" s="8"/>
      <c r="C45" s="8"/>
      <c r="D45" s="8"/>
      <c r="E45" s="8"/>
      <c r="F45" s="8"/>
      <c r="G45" s="81"/>
      <c r="H45" s="82"/>
      <c r="I45" s="82"/>
      <c r="J45" s="82"/>
      <c r="K45" s="82"/>
      <c r="L45" s="82"/>
      <c r="M45" s="82"/>
      <c r="N45" s="82"/>
      <c r="O45" s="83"/>
      <c r="P45" s="82"/>
      <c r="Q45" s="82"/>
      <c r="R45" s="82"/>
      <c r="S45" s="82"/>
      <c r="T45" s="83"/>
      <c r="U45" s="82"/>
      <c r="V45" s="60"/>
      <c r="W45" s="60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82"/>
      <c r="AL45" s="82"/>
      <c r="AM45" s="82"/>
      <c r="AN45" s="82"/>
      <c r="AO45" s="82"/>
      <c r="AP45" s="82"/>
      <c r="AQ45" s="82"/>
      <c r="AR45" s="82"/>
    </row>
    <row r="46" spans="1:44" ht="19.5" customHeight="1" x14ac:dyDescent="0.35">
      <c r="A46" s="8"/>
      <c r="B46" s="8"/>
      <c r="C46" s="8"/>
      <c r="D46" s="8"/>
      <c r="E46" s="8"/>
      <c r="F46" s="8"/>
      <c r="G46" s="81"/>
      <c r="H46" s="82"/>
      <c r="I46" s="82"/>
      <c r="J46" s="82"/>
      <c r="K46" s="82"/>
      <c r="L46" s="82"/>
      <c r="M46" s="82"/>
      <c r="N46" s="82"/>
      <c r="O46" s="83"/>
      <c r="P46" s="82"/>
      <c r="Q46" s="82"/>
      <c r="R46" s="82"/>
      <c r="S46" s="82"/>
      <c r="T46" s="83"/>
      <c r="U46" s="82"/>
      <c r="V46" s="60"/>
      <c r="W46" s="60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3"/>
      <c r="AK46" s="82"/>
      <c r="AL46" s="82"/>
      <c r="AM46" s="82"/>
      <c r="AN46" s="82"/>
      <c r="AO46" s="82"/>
      <c r="AP46" s="82"/>
      <c r="AQ46" s="82"/>
      <c r="AR46" s="82"/>
    </row>
    <row r="47" spans="1:44" ht="19.5" customHeight="1" x14ac:dyDescent="0.35">
      <c r="A47" s="8"/>
      <c r="B47" s="8"/>
      <c r="C47" s="8"/>
      <c r="D47" s="8"/>
      <c r="E47" s="8"/>
      <c r="F47" s="8"/>
      <c r="G47" s="81"/>
      <c r="H47" s="82"/>
      <c r="I47" s="82"/>
      <c r="J47" s="82"/>
      <c r="K47" s="82"/>
      <c r="L47" s="82"/>
      <c r="M47" s="82"/>
      <c r="N47" s="82"/>
      <c r="O47" s="83"/>
      <c r="P47" s="82"/>
      <c r="Q47" s="82"/>
      <c r="R47" s="82"/>
      <c r="S47" s="82"/>
      <c r="T47" s="83"/>
      <c r="U47" s="82"/>
      <c r="V47" s="60"/>
      <c r="W47" s="60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82"/>
      <c r="AL47" s="82"/>
      <c r="AM47" s="82"/>
      <c r="AN47" s="82"/>
      <c r="AO47" s="82"/>
      <c r="AP47" s="82"/>
      <c r="AQ47" s="82"/>
      <c r="AR47" s="82"/>
    </row>
    <row r="48" spans="1:44" ht="19.5" customHeight="1" x14ac:dyDescent="0.35">
      <c r="A48" s="8"/>
      <c r="B48" s="8"/>
      <c r="C48" s="8"/>
      <c r="D48" s="8"/>
      <c r="E48" s="8"/>
      <c r="F48" s="8"/>
      <c r="G48" s="81"/>
      <c r="H48" s="82"/>
      <c r="I48" s="82"/>
      <c r="J48" s="82"/>
      <c r="K48" s="82"/>
      <c r="L48" s="82"/>
      <c r="M48" s="82"/>
      <c r="N48" s="82"/>
      <c r="O48" s="83"/>
      <c r="P48" s="82"/>
      <c r="Q48" s="82"/>
      <c r="R48" s="82"/>
      <c r="S48" s="82"/>
      <c r="T48" s="83"/>
      <c r="U48" s="82"/>
      <c r="V48" s="60"/>
      <c r="W48" s="60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  <c r="AK48" s="82"/>
      <c r="AL48" s="82"/>
      <c r="AM48" s="82"/>
      <c r="AN48" s="82"/>
      <c r="AO48" s="82"/>
      <c r="AP48" s="82"/>
      <c r="AQ48" s="82"/>
      <c r="AR48" s="82"/>
    </row>
    <row r="49" spans="1:44" ht="19.5" customHeight="1" x14ac:dyDescent="0.35">
      <c r="A49" s="8"/>
      <c r="B49" s="8"/>
      <c r="C49" s="8"/>
      <c r="D49" s="8"/>
      <c r="E49" s="8"/>
      <c r="F49" s="8"/>
      <c r="G49" s="81"/>
      <c r="H49" s="82"/>
      <c r="I49" s="82"/>
      <c r="J49" s="82"/>
      <c r="K49" s="82"/>
      <c r="L49" s="82"/>
      <c r="M49" s="82"/>
      <c r="N49" s="82"/>
      <c r="O49" s="83"/>
      <c r="P49" s="82"/>
      <c r="Q49" s="82"/>
      <c r="R49" s="82"/>
      <c r="S49" s="82"/>
      <c r="T49" s="83"/>
      <c r="U49" s="82"/>
      <c r="V49" s="60"/>
      <c r="W49" s="60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82"/>
      <c r="AL49" s="82"/>
      <c r="AM49" s="82"/>
      <c r="AN49" s="82"/>
      <c r="AO49" s="82"/>
      <c r="AP49" s="82"/>
      <c r="AQ49" s="82"/>
      <c r="AR49" s="82"/>
    </row>
    <row r="50" spans="1:44" ht="19.5" customHeight="1" x14ac:dyDescent="0.35">
      <c r="A50" s="8"/>
      <c r="B50" s="8"/>
      <c r="C50" s="8"/>
      <c r="D50" s="8"/>
      <c r="E50" s="8"/>
      <c r="F50" s="8"/>
      <c r="G50" s="81"/>
      <c r="H50" s="82"/>
      <c r="I50" s="82"/>
      <c r="J50" s="82"/>
      <c r="K50" s="82"/>
      <c r="L50" s="82"/>
      <c r="M50" s="82"/>
      <c r="N50" s="82"/>
      <c r="O50" s="83"/>
      <c r="P50" s="82"/>
      <c r="Q50" s="82"/>
      <c r="R50" s="82"/>
      <c r="S50" s="82"/>
      <c r="T50" s="83"/>
      <c r="U50" s="82"/>
      <c r="V50" s="60"/>
      <c r="W50" s="60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3"/>
      <c r="AK50" s="82"/>
      <c r="AL50" s="82"/>
      <c r="AM50" s="82"/>
      <c r="AN50" s="82"/>
      <c r="AO50" s="82"/>
      <c r="AP50" s="82"/>
      <c r="AQ50" s="82"/>
      <c r="AR50" s="82"/>
    </row>
    <row r="51" spans="1:44" ht="19.5" customHeight="1" x14ac:dyDescent="0.35">
      <c r="A51" s="8"/>
      <c r="B51" s="8"/>
      <c r="C51" s="8"/>
      <c r="D51" s="8"/>
      <c r="E51" s="8"/>
      <c r="F51" s="8"/>
      <c r="G51" s="81"/>
      <c r="H51" s="82"/>
      <c r="I51" s="82"/>
      <c r="J51" s="82"/>
      <c r="K51" s="82"/>
      <c r="L51" s="82"/>
      <c r="M51" s="82"/>
      <c r="N51" s="82"/>
      <c r="O51" s="83"/>
      <c r="P51" s="82"/>
      <c r="Q51" s="82"/>
      <c r="R51" s="82"/>
      <c r="S51" s="82"/>
      <c r="T51" s="83"/>
      <c r="U51" s="82"/>
      <c r="V51" s="60"/>
      <c r="W51" s="60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82"/>
      <c r="AL51" s="82"/>
      <c r="AM51" s="82"/>
      <c r="AN51" s="82"/>
      <c r="AO51" s="82"/>
      <c r="AP51" s="82"/>
      <c r="AQ51" s="82"/>
      <c r="AR51" s="82"/>
    </row>
    <row r="52" spans="1:44" ht="19.5" customHeight="1" x14ac:dyDescent="0.35">
      <c r="A52" s="8"/>
      <c r="B52" s="8"/>
      <c r="C52" s="8"/>
      <c r="D52" s="8"/>
      <c r="E52" s="8"/>
      <c r="F52" s="8"/>
      <c r="G52" s="81"/>
      <c r="H52" s="82"/>
      <c r="I52" s="82"/>
      <c r="J52" s="82"/>
      <c r="K52" s="82"/>
      <c r="L52" s="82"/>
      <c r="M52" s="82"/>
      <c r="N52" s="82"/>
      <c r="O52" s="83"/>
      <c r="P52" s="82"/>
      <c r="Q52" s="82"/>
      <c r="R52" s="82"/>
      <c r="S52" s="82"/>
      <c r="T52" s="83"/>
      <c r="U52" s="82"/>
      <c r="V52" s="60"/>
      <c r="W52" s="60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3"/>
      <c r="AK52" s="82"/>
      <c r="AL52" s="82"/>
      <c r="AM52" s="82"/>
      <c r="AN52" s="82"/>
      <c r="AO52" s="82"/>
      <c r="AP52" s="82"/>
      <c r="AQ52" s="82"/>
      <c r="AR52" s="82"/>
    </row>
    <row r="53" spans="1:44" ht="19.5" customHeight="1" x14ac:dyDescent="0.35">
      <c r="A53" s="8"/>
      <c r="B53" s="8"/>
      <c r="C53" s="8"/>
      <c r="D53" s="8"/>
      <c r="E53" s="8"/>
      <c r="F53" s="8"/>
      <c r="G53" s="81"/>
      <c r="H53" s="82"/>
      <c r="I53" s="82"/>
      <c r="J53" s="82"/>
      <c r="K53" s="82"/>
      <c r="L53" s="82"/>
      <c r="M53" s="82"/>
      <c r="N53" s="82"/>
      <c r="O53" s="83"/>
      <c r="P53" s="82"/>
      <c r="Q53" s="82"/>
      <c r="R53" s="82"/>
      <c r="S53" s="82"/>
      <c r="T53" s="83"/>
      <c r="U53" s="82"/>
      <c r="V53" s="60"/>
      <c r="W53" s="60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  <c r="AK53" s="82"/>
      <c r="AL53" s="82"/>
      <c r="AM53" s="82"/>
      <c r="AN53" s="82"/>
      <c r="AO53" s="82"/>
      <c r="AP53" s="82"/>
      <c r="AQ53" s="82"/>
      <c r="AR53" s="82"/>
    </row>
    <row r="54" spans="1:44" ht="19.5" customHeight="1" x14ac:dyDescent="0.35">
      <c r="A54" s="8"/>
      <c r="B54" s="8"/>
      <c r="C54" s="8"/>
      <c r="D54" s="8"/>
      <c r="E54" s="8"/>
      <c r="F54" s="8"/>
      <c r="G54" s="62" t="s">
        <v>225</v>
      </c>
      <c r="H54" s="63">
        <v>3186</v>
      </c>
      <c r="I54" s="63"/>
      <c r="J54" s="63">
        <v>8689</v>
      </c>
      <c r="K54" s="63">
        <v>13133.92</v>
      </c>
      <c r="L54" s="63">
        <v>9000</v>
      </c>
      <c r="M54" s="63">
        <v>14845.31</v>
      </c>
      <c r="N54" s="63">
        <v>9000</v>
      </c>
      <c r="O54" s="64">
        <f>N54/L54*1-1</f>
        <v>0</v>
      </c>
      <c r="P54" s="63">
        <f>N54-L54</f>
        <v>0</v>
      </c>
      <c r="Q54" s="63">
        <v>6219.69</v>
      </c>
      <c r="R54" s="63">
        <v>14700</v>
      </c>
      <c r="S54" s="63">
        <v>15000</v>
      </c>
      <c r="T54" s="64">
        <f>S54/Q54*1-1</f>
        <v>1.4116957597565154</v>
      </c>
      <c r="U54" s="63">
        <f t="shared" si="7"/>
        <v>6000</v>
      </c>
      <c r="V54" s="63">
        <v>14300</v>
      </c>
      <c r="W54" s="63">
        <v>14000</v>
      </c>
      <c r="Y54" s="63">
        <v>15000</v>
      </c>
      <c r="Z54" s="63"/>
      <c r="AA54" s="63"/>
      <c r="AB54" s="63"/>
      <c r="AC54" s="63"/>
      <c r="AD54" s="63">
        <v>3000</v>
      </c>
      <c r="AE54" s="63">
        <v>3000</v>
      </c>
      <c r="AF54" s="63">
        <v>9600</v>
      </c>
      <c r="AG54" s="63">
        <f>SUM(AG55:AG59)</f>
        <v>8200</v>
      </c>
      <c r="AH54" s="63">
        <v>11605.38</v>
      </c>
      <c r="AI54" s="63">
        <f>SUM(AI55:AI59)</f>
        <v>3200</v>
      </c>
      <c r="AJ54" s="64">
        <f>AI54/AF54*1-1</f>
        <v>-0.66666666666666674</v>
      </c>
      <c r="AK54" s="63">
        <f>AI54-AF54</f>
        <v>-6400</v>
      </c>
      <c r="AL54" s="63">
        <f>SUM(AI54)</f>
        <v>3200</v>
      </c>
      <c r="AM54" s="63"/>
      <c r="AN54" s="63"/>
      <c r="AO54" s="63"/>
      <c r="AP54" s="63"/>
      <c r="AQ54" s="63"/>
      <c r="AR54" s="63"/>
    </row>
    <row r="55" spans="1:44" ht="19.5" customHeight="1" x14ac:dyDescent="0.35">
      <c r="A55" s="8"/>
      <c r="B55" s="8"/>
      <c r="C55" s="8"/>
      <c r="D55" s="8"/>
      <c r="E55" s="8"/>
      <c r="F55" s="8"/>
      <c r="G55" s="62" t="s">
        <v>227</v>
      </c>
      <c r="H55" s="63"/>
      <c r="I55" s="63"/>
      <c r="J55" s="63"/>
      <c r="K55" s="63"/>
      <c r="L55" s="63"/>
      <c r="M55" s="63"/>
      <c r="N55" s="63"/>
      <c r="O55" s="64"/>
      <c r="P55" s="63"/>
      <c r="Q55" s="63"/>
      <c r="R55" s="63"/>
      <c r="S55" s="63"/>
      <c r="T55" s="64"/>
      <c r="U55" s="63"/>
      <c r="V55" s="63"/>
      <c r="W55" s="63"/>
      <c r="Y55" s="63"/>
      <c r="Z55" s="63"/>
      <c r="AA55" s="63"/>
      <c r="AB55" s="63"/>
      <c r="AC55" s="63"/>
      <c r="AD55" s="63"/>
      <c r="AE55" s="63"/>
      <c r="AF55" s="63"/>
      <c r="AG55" s="63">
        <v>1700</v>
      </c>
      <c r="AH55" s="63"/>
      <c r="AI55" s="63">
        <v>1700</v>
      </c>
      <c r="AJ55" s="64"/>
      <c r="AK55" s="63"/>
      <c r="AL55" s="63">
        <f t="shared" ref="AL55:AL66" si="10">SUM(AI55)</f>
        <v>1700</v>
      </c>
      <c r="AM55" s="63"/>
      <c r="AN55" s="63"/>
      <c r="AO55" s="63"/>
      <c r="AP55" s="63"/>
      <c r="AQ55" s="63"/>
      <c r="AR55" s="63"/>
    </row>
    <row r="56" spans="1:44" ht="19.5" customHeight="1" x14ac:dyDescent="0.35">
      <c r="A56" s="8"/>
      <c r="B56" s="8"/>
      <c r="C56" s="8"/>
      <c r="D56" s="8"/>
      <c r="E56" s="8"/>
      <c r="F56" s="8"/>
      <c r="G56" s="62" t="s">
        <v>226</v>
      </c>
      <c r="H56" s="63"/>
      <c r="I56" s="63"/>
      <c r="J56" s="63"/>
      <c r="K56" s="63"/>
      <c r="L56" s="63"/>
      <c r="M56" s="63"/>
      <c r="N56" s="63"/>
      <c r="O56" s="64"/>
      <c r="P56" s="63"/>
      <c r="Q56" s="63"/>
      <c r="R56" s="63"/>
      <c r="S56" s="63"/>
      <c r="T56" s="64"/>
      <c r="U56" s="63"/>
      <c r="V56" s="63"/>
      <c r="W56" s="63"/>
      <c r="Y56" s="63"/>
      <c r="Z56" s="63"/>
      <c r="AA56" s="63"/>
      <c r="AB56" s="63"/>
      <c r="AC56" s="63"/>
      <c r="AD56" s="63"/>
      <c r="AE56" s="63"/>
      <c r="AF56" s="63"/>
      <c r="AG56" s="63">
        <v>380</v>
      </c>
      <c r="AH56" s="63"/>
      <c r="AI56" s="63">
        <v>380</v>
      </c>
      <c r="AJ56" s="64"/>
      <c r="AK56" s="63"/>
      <c r="AL56" s="63">
        <f t="shared" si="10"/>
        <v>380</v>
      </c>
      <c r="AM56" s="63"/>
      <c r="AN56" s="63"/>
      <c r="AO56" s="63"/>
      <c r="AP56" s="63"/>
      <c r="AQ56" s="63"/>
      <c r="AR56" s="63"/>
    </row>
    <row r="57" spans="1:44" ht="27.65" customHeight="1" x14ac:dyDescent="0.35">
      <c r="A57" s="8"/>
      <c r="B57" s="8"/>
      <c r="C57" s="8"/>
      <c r="D57" s="8"/>
      <c r="E57" s="8"/>
      <c r="F57" s="8"/>
      <c r="G57" s="151" t="s">
        <v>228</v>
      </c>
      <c r="H57" s="63"/>
      <c r="I57" s="63"/>
      <c r="J57" s="63"/>
      <c r="K57" s="63"/>
      <c r="L57" s="63"/>
      <c r="M57" s="63"/>
      <c r="N57" s="63"/>
      <c r="O57" s="64"/>
      <c r="P57" s="63"/>
      <c r="Q57" s="63"/>
      <c r="R57" s="63"/>
      <c r="S57" s="63"/>
      <c r="T57" s="64"/>
      <c r="U57" s="63"/>
      <c r="V57" s="63"/>
      <c r="W57" s="63"/>
      <c r="Y57" s="63"/>
      <c r="Z57" s="63"/>
      <c r="AA57" s="63"/>
      <c r="AB57" s="63"/>
      <c r="AC57" s="63"/>
      <c r="AD57" s="63"/>
      <c r="AE57" s="63"/>
      <c r="AF57" s="63"/>
      <c r="AG57" s="63">
        <v>120</v>
      </c>
      <c r="AH57" s="63"/>
      <c r="AI57" s="63">
        <v>120</v>
      </c>
      <c r="AJ57" s="64"/>
      <c r="AK57" s="63"/>
      <c r="AL57" s="63">
        <f t="shared" si="10"/>
        <v>120</v>
      </c>
      <c r="AM57" s="63"/>
      <c r="AN57" s="63"/>
      <c r="AO57" s="63"/>
      <c r="AP57" s="63"/>
      <c r="AQ57" s="63"/>
      <c r="AR57" s="63"/>
    </row>
    <row r="58" spans="1:44" ht="25.75" hidden="1" customHeight="1" x14ac:dyDescent="0.35">
      <c r="A58" s="8"/>
      <c r="B58" s="8"/>
      <c r="C58" s="8"/>
      <c r="D58" s="8"/>
      <c r="E58" s="8"/>
      <c r="F58" s="8"/>
      <c r="G58" s="151" t="s">
        <v>231</v>
      </c>
      <c r="H58" s="63"/>
      <c r="I58" s="63"/>
      <c r="J58" s="63"/>
      <c r="K58" s="63"/>
      <c r="L58" s="63"/>
      <c r="M58" s="63"/>
      <c r="N58" s="63"/>
      <c r="O58" s="64"/>
      <c r="P58" s="63"/>
      <c r="Q58" s="63"/>
      <c r="R58" s="63"/>
      <c r="S58" s="63"/>
      <c r="T58" s="64"/>
      <c r="U58" s="63"/>
      <c r="V58" s="63"/>
      <c r="W58" s="63"/>
      <c r="Y58" s="63"/>
      <c r="Z58" s="63"/>
      <c r="AA58" s="63"/>
      <c r="AB58" s="63"/>
      <c r="AC58" s="63"/>
      <c r="AD58" s="63"/>
      <c r="AE58" s="63"/>
      <c r="AF58" s="63"/>
      <c r="AG58" s="63">
        <v>5000</v>
      </c>
      <c r="AH58" s="63"/>
      <c r="AI58" s="63"/>
      <c r="AJ58" s="64"/>
      <c r="AK58" s="63"/>
      <c r="AL58" s="63">
        <f t="shared" si="10"/>
        <v>0</v>
      </c>
      <c r="AM58" s="63"/>
      <c r="AN58" s="63"/>
      <c r="AO58" s="63"/>
      <c r="AP58" s="63"/>
      <c r="AQ58" s="63"/>
      <c r="AR58" s="63"/>
    </row>
    <row r="59" spans="1:44" ht="19.5" customHeight="1" x14ac:dyDescent="0.35">
      <c r="A59" s="8"/>
      <c r="B59" s="8"/>
      <c r="C59" s="8"/>
      <c r="D59" s="8"/>
      <c r="E59" s="8"/>
      <c r="F59" s="8"/>
      <c r="G59" s="62" t="s">
        <v>230</v>
      </c>
      <c r="H59" s="63"/>
      <c r="I59" s="63"/>
      <c r="J59" s="63"/>
      <c r="K59" s="63"/>
      <c r="L59" s="63"/>
      <c r="M59" s="63"/>
      <c r="N59" s="63"/>
      <c r="O59" s="64"/>
      <c r="P59" s="63"/>
      <c r="Q59" s="63"/>
      <c r="R59" s="63"/>
      <c r="S59" s="63"/>
      <c r="T59" s="64"/>
      <c r="U59" s="63"/>
      <c r="V59" s="63"/>
      <c r="W59" s="63"/>
      <c r="Y59" s="63"/>
      <c r="Z59" s="63"/>
      <c r="AA59" s="63"/>
      <c r="AB59" s="63"/>
      <c r="AC59" s="63"/>
      <c r="AD59" s="63"/>
      <c r="AE59" s="63"/>
      <c r="AF59" s="63"/>
      <c r="AG59" s="63">
        <v>1000</v>
      </c>
      <c r="AH59" s="63"/>
      <c r="AI59" s="63">
        <v>1000</v>
      </c>
      <c r="AJ59" s="64"/>
      <c r="AK59" s="63"/>
      <c r="AL59" s="63">
        <f t="shared" si="10"/>
        <v>1000</v>
      </c>
      <c r="AM59" s="63"/>
      <c r="AN59" s="63"/>
      <c r="AO59" s="63"/>
      <c r="AP59" s="63"/>
      <c r="AQ59" s="63"/>
      <c r="AR59" s="63"/>
    </row>
    <row r="60" spans="1:44" ht="19.5" customHeight="1" x14ac:dyDescent="0.35">
      <c r="A60" s="8"/>
      <c r="B60" s="8"/>
      <c r="C60" s="8"/>
      <c r="D60" s="8"/>
      <c r="E60" s="8"/>
      <c r="F60" s="8"/>
      <c r="G60" s="62" t="s">
        <v>36</v>
      </c>
      <c r="H60" s="63">
        <v>17377</v>
      </c>
      <c r="I60" s="63"/>
      <c r="J60" s="63">
        <v>3186</v>
      </c>
      <c r="K60" s="63"/>
      <c r="L60" s="63">
        <v>2000</v>
      </c>
      <c r="M60" s="63">
        <v>1161.27</v>
      </c>
      <c r="N60" s="63">
        <v>1000</v>
      </c>
      <c r="O60" s="64">
        <f>N60/L60*1-1</f>
        <v>-0.5</v>
      </c>
      <c r="P60" s="63">
        <f>N60-L60</f>
        <v>-1000</v>
      </c>
      <c r="Q60" s="63">
        <v>746.71</v>
      </c>
      <c r="R60" s="63">
        <v>1000</v>
      </c>
      <c r="S60" s="63">
        <v>1000</v>
      </c>
      <c r="T60" s="75">
        <f>S60/N60*1-1</f>
        <v>0</v>
      </c>
      <c r="U60" s="74">
        <f t="shared" ref="U60:U65" si="11">S60-N60</f>
        <v>0</v>
      </c>
      <c r="V60" s="40">
        <v>1000</v>
      </c>
      <c r="W60" s="40">
        <v>1000</v>
      </c>
      <c r="Y60" s="63">
        <v>1000</v>
      </c>
      <c r="Z60" s="63"/>
      <c r="AA60" s="63"/>
      <c r="AB60" s="63"/>
      <c r="AC60" s="63"/>
      <c r="AD60" s="63">
        <v>1000</v>
      </c>
      <c r="AE60" s="63">
        <v>1000</v>
      </c>
      <c r="AF60" s="63">
        <v>900</v>
      </c>
      <c r="AG60" s="63"/>
      <c r="AH60" s="63">
        <v>3.34</v>
      </c>
      <c r="AI60" s="63"/>
      <c r="AJ60" s="64">
        <f>AI60/AF60*1-1</f>
        <v>-1</v>
      </c>
      <c r="AK60" s="63">
        <f>AI60-AF60</f>
        <v>-900</v>
      </c>
      <c r="AL60" s="63">
        <f t="shared" si="10"/>
        <v>0</v>
      </c>
      <c r="AM60" s="63"/>
      <c r="AN60" s="63"/>
      <c r="AO60" s="63"/>
      <c r="AP60" s="63"/>
      <c r="AQ60" s="63"/>
      <c r="AR60" s="63"/>
    </row>
    <row r="61" spans="1:44" ht="19.5" hidden="1" customHeight="1" x14ac:dyDescent="0.35">
      <c r="A61" s="8"/>
      <c r="B61" s="8"/>
      <c r="C61" s="8"/>
      <c r="D61" s="8"/>
      <c r="E61" s="8"/>
      <c r="F61" s="8"/>
      <c r="G61" s="62" t="s">
        <v>74</v>
      </c>
      <c r="H61" s="63"/>
      <c r="I61" s="63"/>
      <c r="J61" s="63"/>
      <c r="K61" s="63"/>
      <c r="L61" s="63"/>
      <c r="M61" s="63">
        <v>21806.01</v>
      </c>
      <c r="N61" s="63"/>
      <c r="O61" s="64"/>
      <c r="P61" s="63"/>
      <c r="Q61" s="63">
        <v>6857.98</v>
      </c>
      <c r="R61" s="63"/>
      <c r="S61" s="63"/>
      <c r="T61" s="75"/>
      <c r="U61" s="74">
        <f t="shared" si="11"/>
        <v>0</v>
      </c>
      <c r="V61" s="40"/>
      <c r="W61" s="40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75"/>
      <c r="AK61" s="74">
        <f>AE61-Z61</f>
        <v>0</v>
      </c>
      <c r="AL61" s="63">
        <f t="shared" si="10"/>
        <v>0</v>
      </c>
      <c r="AM61" s="63"/>
      <c r="AN61" s="63"/>
      <c r="AO61" s="63"/>
      <c r="AP61" s="63"/>
      <c r="AQ61" s="63"/>
      <c r="AR61" s="63"/>
    </row>
    <row r="62" spans="1:44" ht="19.5" hidden="1" customHeight="1" x14ac:dyDescent="0.35">
      <c r="A62" s="8"/>
      <c r="B62" s="8"/>
      <c r="C62" s="8"/>
      <c r="D62" s="8"/>
      <c r="E62" s="8"/>
      <c r="F62" s="8"/>
      <c r="G62" s="62" t="s">
        <v>75</v>
      </c>
      <c r="H62" s="63"/>
      <c r="I62" s="63"/>
      <c r="J62" s="63"/>
      <c r="K62" s="63"/>
      <c r="L62" s="63"/>
      <c r="M62" s="63">
        <v>163.44</v>
      </c>
      <c r="N62" s="63"/>
      <c r="O62" s="64"/>
      <c r="P62" s="63"/>
      <c r="Q62" s="63">
        <v>112.67</v>
      </c>
      <c r="R62" s="63">
        <v>160</v>
      </c>
      <c r="S62" s="63"/>
      <c r="T62" s="75"/>
      <c r="U62" s="74">
        <f t="shared" si="11"/>
        <v>0</v>
      </c>
      <c r="V62" s="40">
        <v>160</v>
      </c>
      <c r="W62" s="40">
        <v>160</v>
      </c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75"/>
      <c r="AK62" s="74">
        <f>AE62-Z62</f>
        <v>0</v>
      </c>
      <c r="AL62" s="63">
        <f t="shared" si="10"/>
        <v>0</v>
      </c>
      <c r="AM62" s="63"/>
      <c r="AN62" s="63"/>
      <c r="AO62" s="63"/>
      <c r="AP62" s="63"/>
      <c r="AQ62" s="63"/>
      <c r="AR62" s="63"/>
    </row>
    <row r="63" spans="1:44" ht="19.5" customHeight="1" x14ac:dyDescent="0.35">
      <c r="A63" s="8"/>
      <c r="B63" s="59"/>
      <c r="C63" s="8"/>
      <c r="D63" s="8"/>
      <c r="E63" s="8"/>
      <c r="F63" s="8"/>
      <c r="G63" s="62" t="s">
        <v>132</v>
      </c>
      <c r="H63" s="63">
        <v>15060</v>
      </c>
      <c r="I63" s="63"/>
      <c r="J63" s="63">
        <v>14481</v>
      </c>
      <c r="K63" s="63"/>
      <c r="L63" s="63">
        <v>2000</v>
      </c>
      <c r="M63" s="63">
        <v>3685.61</v>
      </c>
      <c r="N63" s="63"/>
      <c r="O63" s="64">
        <f>N63/L63*1-1</f>
        <v>-1</v>
      </c>
      <c r="P63" s="63">
        <f>N63-L63</f>
        <v>-2000</v>
      </c>
      <c r="Q63" s="63">
        <v>9317.89</v>
      </c>
      <c r="R63" s="63"/>
      <c r="S63" s="63"/>
      <c r="T63" s="75"/>
      <c r="U63" s="74">
        <f t="shared" si="11"/>
        <v>0</v>
      </c>
      <c r="V63" s="40"/>
      <c r="W63" s="40"/>
      <c r="Y63" s="63"/>
      <c r="Z63" s="63"/>
      <c r="AA63" s="63"/>
      <c r="AB63" s="63"/>
      <c r="AC63" s="63"/>
      <c r="AD63" s="63"/>
      <c r="AE63" s="63"/>
      <c r="AF63" s="63">
        <v>50500</v>
      </c>
      <c r="AG63" s="63">
        <v>40000</v>
      </c>
      <c r="AH63" s="63">
        <v>190438.12</v>
      </c>
      <c r="AI63" s="63">
        <v>39800</v>
      </c>
      <c r="AJ63" s="75"/>
      <c r="AK63" s="63">
        <f>AI63-AF63</f>
        <v>-10700</v>
      </c>
      <c r="AL63" s="63">
        <f t="shared" si="10"/>
        <v>39800</v>
      </c>
      <c r="AM63" s="63"/>
      <c r="AN63" s="63"/>
      <c r="AO63" s="63"/>
      <c r="AP63" s="63"/>
      <c r="AQ63" s="63"/>
      <c r="AR63" s="63"/>
    </row>
    <row r="64" spans="1:44" ht="19.5" hidden="1" customHeight="1" x14ac:dyDescent="0.35">
      <c r="A64" s="8"/>
      <c r="B64" s="58"/>
      <c r="C64" s="58"/>
      <c r="D64" s="58"/>
      <c r="E64" s="58"/>
      <c r="F64" s="58"/>
      <c r="G64" s="79" t="s">
        <v>76</v>
      </c>
      <c r="H64" s="63"/>
      <c r="I64" s="63"/>
      <c r="J64" s="63"/>
      <c r="K64" s="63"/>
      <c r="L64" s="63"/>
      <c r="M64" s="63">
        <v>800</v>
      </c>
      <c r="N64" s="63"/>
      <c r="O64" s="64"/>
      <c r="P64" s="63"/>
      <c r="Q64" s="63"/>
      <c r="R64" s="63"/>
      <c r="S64" s="63"/>
      <c r="T64" s="75"/>
      <c r="U64" s="74">
        <f t="shared" si="11"/>
        <v>0</v>
      </c>
      <c r="V64" s="40"/>
      <c r="W64" s="40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75"/>
      <c r="AK64" s="74">
        <f>AE64-Z64</f>
        <v>0</v>
      </c>
      <c r="AL64" s="63">
        <f t="shared" si="10"/>
        <v>0</v>
      </c>
      <c r="AM64" s="63"/>
      <c r="AN64" s="63"/>
      <c r="AO64" s="63"/>
      <c r="AP64" s="63"/>
      <c r="AQ64" s="63"/>
      <c r="AR64" s="63"/>
    </row>
    <row r="65" spans="1:44" ht="19.5" hidden="1" customHeight="1" x14ac:dyDescent="0.35">
      <c r="A65" s="8"/>
      <c r="B65" s="58"/>
      <c r="C65" s="58"/>
      <c r="D65" s="58"/>
      <c r="E65" s="58"/>
      <c r="F65" s="58"/>
      <c r="G65" s="79" t="s">
        <v>78</v>
      </c>
      <c r="H65" s="63"/>
      <c r="I65" s="63"/>
      <c r="J65" s="63"/>
      <c r="K65" s="63"/>
      <c r="L65" s="63"/>
      <c r="M65" s="63"/>
      <c r="N65" s="63"/>
      <c r="O65" s="64"/>
      <c r="P65" s="63"/>
      <c r="Q65" s="63">
        <v>6370</v>
      </c>
      <c r="R65" s="63"/>
      <c r="S65" s="63"/>
      <c r="T65" s="75"/>
      <c r="U65" s="74">
        <f t="shared" si="11"/>
        <v>0</v>
      </c>
      <c r="V65" s="40"/>
      <c r="W65" s="40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75"/>
      <c r="AK65" s="74">
        <f>AE65-Z65</f>
        <v>0</v>
      </c>
      <c r="AL65" s="63">
        <f t="shared" si="10"/>
        <v>0</v>
      </c>
      <c r="AM65" s="63"/>
      <c r="AN65" s="63"/>
      <c r="AO65" s="63"/>
      <c r="AP65" s="63"/>
      <c r="AQ65" s="63"/>
      <c r="AR65" s="63"/>
    </row>
    <row r="66" spans="1:44" ht="19.5" hidden="1" customHeight="1" x14ac:dyDescent="0.35">
      <c r="A66" s="8"/>
      <c r="B66" s="58"/>
      <c r="C66" s="58"/>
      <c r="D66" s="58"/>
      <c r="E66" s="58"/>
      <c r="F66" s="58"/>
      <c r="G66" s="79" t="s">
        <v>77</v>
      </c>
      <c r="H66" s="63"/>
      <c r="I66" s="63"/>
      <c r="J66" s="63"/>
      <c r="K66" s="63"/>
      <c r="L66" s="63"/>
      <c r="M66" s="63">
        <v>624.38</v>
      </c>
      <c r="N66" s="63"/>
      <c r="O66" s="64"/>
      <c r="P66" s="63"/>
      <c r="Q66" s="63">
        <v>1649.41</v>
      </c>
      <c r="R66" s="63"/>
      <c r="S66" s="63"/>
      <c r="T66" s="64"/>
      <c r="U66" s="63"/>
      <c r="V66" s="40"/>
      <c r="W66" s="40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4"/>
      <c r="AK66" s="63"/>
      <c r="AL66" s="63">
        <f t="shared" si="10"/>
        <v>0</v>
      </c>
      <c r="AM66" s="63"/>
      <c r="AN66" s="63"/>
      <c r="AO66" s="63"/>
      <c r="AP66" s="63"/>
      <c r="AQ66" s="63"/>
      <c r="AR66" s="63"/>
    </row>
    <row r="67" spans="1:44" s="34" customFormat="1" ht="31.4" hidden="1" customHeight="1" x14ac:dyDescent="0.35">
      <c r="A67" s="153"/>
      <c r="B67" s="154"/>
      <c r="C67" s="154"/>
      <c r="D67" s="154"/>
      <c r="E67" s="154"/>
      <c r="F67" s="154"/>
      <c r="G67" s="152" t="s">
        <v>229</v>
      </c>
      <c r="H67" s="15"/>
      <c r="I67" s="15"/>
      <c r="J67" s="15"/>
      <c r="K67" s="15"/>
      <c r="L67" s="15"/>
      <c r="M67" s="15"/>
      <c r="N67" s="15"/>
      <c r="O67" s="11"/>
      <c r="P67" s="15"/>
      <c r="Q67" s="15"/>
      <c r="R67" s="15"/>
      <c r="S67" s="15"/>
      <c r="T67" s="11"/>
      <c r="U67" s="15"/>
      <c r="V67" s="15"/>
      <c r="W67" s="15"/>
      <c r="X67" s="155"/>
      <c r="Y67" s="15"/>
      <c r="Z67" s="15"/>
      <c r="AA67" s="15"/>
      <c r="AB67" s="15"/>
      <c r="AC67" s="15"/>
      <c r="AD67" s="15"/>
      <c r="AE67" s="15"/>
      <c r="AF67" s="15"/>
      <c r="AG67" s="15">
        <v>360</v>
      </c>
      <c r="AH67" s="15"/>
      <c r="AI67" s="15"/>
      <c r="AJ67" s="11"/>
      <c r="AK67" s="15"/>
      <c r="AL67" s="15"/>
      <c r="AM67" s="15"/>
      <c r="AN67" s="15"/>
      <c r="AO67" s="15"/>
      <c r="AP67" s="15"/>
      <c r="AQ67" s="15"/>
      <c r="AR67" s="15"/>
    </row>
    <row r="68" spans="1:44" ht="29.25" customHeight="1" x14ac:dyDescent="0.35">
      <c r="A68" s="335" t="s">
        <v>133</v>
      </c>
      <c r="B68" s="336"/>
      <c r="C68" s="336"/>
      <c r="D68" s="336"/>
      <c r="E68" s="336"/>
      <c r="F68" s="336"/>
      <c r="G68" s="337"/>
      <c r="H68" s="35">
        <v>1808677</v>
      </c>
      <c r="I68" s="35"/>
      <c r="J68" s="35">
        <v>1500532</v>
      </c>
      <c r="K68" s="35">
        <v>1500532</v>
      </c>
      <c r="L68" s="35">
        <v>1958000</v>
      </c>
      <c r="M68" s="35">
        <v>1958000</v>
      </c>
      <c r="N68" s="35">
        <v>2459000</v>
      </c>
      <c r="O68" s="36">
        <f>N68/L68*1-1</f>
        <v>0.25587334014300311</v>
      </c>
      <c r="P68" s="35">
        <f>N68-L68</f>
        <v>501000</v>
      </c>
      <c r="Q68" s="35"/>
      <c r="R68" s="66">
        <v>2459400</v>
      </c>
      <c r="S68" s="35">
        <v>0</v>
      </c>
      <c r="T68" s="36">
        <f>S68/N68*1-1</f>
        <v>-1</v>
      </c>
      <c r="U68" s="35">
        <f>S68-N68</f>
        <v>-2459000</v>
      </c>
      <c r="V68" s="35">
        <v>2459000</v>
      </c>
      <c r="W68" s="35">
        <v>2459000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66">
        <v>0</v>
      </c>
      <c r="AE68" s="35">
        <v>0</v>
      </c>
      <c r="AF68" s="35">
        <v>0</v>
      </c>
      <c r="AG68" s="35"/>
      <c r="AH68" s="35"/>
      <c r="AI68" s="35"/>
      <c r="AJ68" s="36">
        <v>0</v>
      </c>
      <c r="AK68" s="35">
        <f>AE68-Z68</f>
        <v>0</v>
      </c>
      <c r="AL68" s="35">
        <v>0</v>
      </c>
      <c r="AM68" s="35">
        <v>0</v>
      </c>
      <c r="AN68" s="35">
        <v>0</v>
      </c>
      <c r="AO68" s="35">
        <v>0</v>
      </c>
      <c r="AP68" s="35">
        <v>0</v>
      </c>
      <c r="AQ68" s="35">
        <v>0</v>
      </c>
      <c r="AR68" s="35">
        <v>0</v>
      </c>
    </row>
    <row r="69" spans="1:44" ht="26.25" hidden="1" customHeight="1" x14ac:dyDescent="0.35">
      <c r="A69" s="30"/>
      <c r="B69" s="67"/>
      <c r="C69" s="30"/>
      <c r="D69" s="30"/>
      <c r="E69" s="30"/>
      <c r="F69" s="30"/>
      <c r="G69" s="32" t="s">
        <v>39</v>
      </c>
      <c r="H69" s="30"/>
      <c r="I69" s="30"/>
      <c r="J69" s="30"/>
      <c r="K69" s="30"/>
      <c r="L69" s="30"/>
      <c r="M69" s="30"/>
      <c r="N69" s="30">
        <v>22000</v>
      </c>
      <c r="O69" s="31"/>
      <c r="P69" s="30"/>
      <c r="Q69" s="30"/>
      <c r="R69" s="30"/>
      <c r="S69" s="30"/>
      <c r="T69" s="31"/>
      <c r="U69" s="8">
        <f>S69-N69</f>
        <v>-22000</v>
      </c>
      <c r="V69" s="30"/>
      <c r="W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1"/>
      <c r="AK69" s="8">
        <f>AE69-Z69</f>
        <v>0</v>
      </c>
      <c r="AL69" s="30"/>
      <c r="AM69" s="30"/>
      <c r="AN69" s="30"/>
      <c r="AO69" s="30"/>
      <c r="AP69" s="30"/>
      <c r="AQ69" s="30"/>
      <c r="AR69" s="30"/>
    </row>
    <row r="70" spans="1:44" ht="39" customHeight="1" x14ac:dyDescent="0.35">
      <c r="A70" s="339" t="s">
        <v>12</v>
      </c>
      <c r="B70" s="340"/>
      <c r="C70" s="340"/>
      <c r="D70" s="340"/>
      <c r="E70" s="340"/>
      <c r="F70" s="340"/>
      <c r="G70" s="341"/>
      <c r="H70" s="42">
        <f t="shared" ref="H70:N70" si="12">SUM(H6,H68)</f>
        <v>9384557</v>
      </c>
      <c r="I70" s="42">
        <f t="shared" si="12"/>
        <v>0</v>
      </c>
      <c r="J70" s="42">
        <f t="shared" si="12"/>
        <v>10586755</v>
      </c>
      <c r="K70" s="42">
        <f t="shared" si="12"/>
        <v>10338803.4</v>
      </c>
      <c r="L70" s="42">
        <f t="shared" si="12"/>
        <v>11158000</v>
      </c>
      <c r="M70" s="42">
        <f t="shared" si="12"/>
        <v>11202134.879999999</v>
      </c>
      <c r="N70" s="42">
        <f t="shared" si="12"/>
        <v>11462000</v>
      </c>
      <c r="O70" s="43">
        <f>N70/L70*1-1</f>
        <v>2.7245025990320748E-2</v>
      </c>
      <c r="P70" s="42">
        <f>N70-L70</f>
        <v>304000</v>
      </c>
      <c r="Q70" s="42"/>
      <c r="R70" s="42">
        <f>SUM(R6,R68)</f>
        <v>11462000</v>
      </c>
      <c r="S70" s="42">
        <f>SUM(S6,S68)</f>
        <v>15087000</v>
      </c>
      <c r="T70" s="43">
        <f>S70/N70*1-1</f>
        <v>0.31626243238527318</v>
      </c>
      <c r="U70" s="42">
        <f>S70-N70</f>
        <v>3625000</v>
      </c>
      <c r="V70" s="42">
        <f>SUM(V6,V68)</f>
        <v>2612900</v>
      </c>
      <c r="W70" s="42">
        <f>SUM(W6,W68)</f>
        <v>2612900</v>
      </c>
      <c r="Y70" s="42">
        <f t="shared" ref="Y70:AH70" si="13">SUM(Y6,Y68)</f>
        <v>15087000</v>
      </c>
      <c r="Z70" s="42">
        <f t="shared" si="13"/>
        <v>0</v>
      </c>
      <c r="AA70" s="42">
        <f t="shared" si="13"/>
        <v>0</v>
      </c>
      <c r="AB70" s="42">
        <f t="shared" si="13"/>
        <v>0</v>
      </c>
      <c r="AC70" s="42">
        <f t="shared" si="13"/>
        <v>0</v>
      </c>
      <c r="AD70" s="42">
        <f t="shared" si="13"/>
        <v>15321000</v>
      </c>
      <c r="AE70" s="42">
        <f t="shared" si="13"/>
        <v>15438000</v>
      </c>
      <c r="AF70" s="42">
        <f t="shared" si="13"/>
        <v>16070000</v>
      </c>
      <c r="AG70" s="42">
        <f t="shared" si="13"/>
        <v>231560</v>
      </c>
      <c r="AH70" s="42">
        <f t="shared" si="13"/>
        <v>15430422.529999997</v>
      </c>
      <c r="AI70" s="42">
        <f>SUM(AI6,AI68)</f>
        <v>15175000</v>
      </c>
      <c r="AJ70" s="43">
        <f>AI70/AF70*1-1</f>
        <v>-5.569383945239581E-2</v>
      </c>
      <c r="AK70" s="42">
        <f>AI70-AF70</f>
        <v>-895000</v>
      </c>
      <c r="AL70" s="42">
        <f t="shared" ref="AL70:AR70" si="14">SUM(AL6,AL68)</f>
        <v>13537070</v>
      </c>
      <c r="AM70" s="42">
        <f t="shared" si="14"/>
        <v>2176930</v>
      </c>
      <c r="AN70" s="42">
        <f t="shared" si="14"/>
        <v>0</v>
      </c>
      <c r="AO70" s="42">
        <f t="shared" si="14"/>
        <v>0</v>
      </c>
      <c r="AP70" s="42">
        <f t="shared" si="14"/>
        <v>0</v>
      </c>
      <c r="AQ70" s="42">
        <f t="shared" si="14"/>
        <v>0</v>
      </c>
      <c r="AR70" s="42">
        <f t="shared" si="14"/>
        <v>0</v>
      </c>
    </row>
    <row r="71" spans="1:44" s="16" customFormat="1" ht="25.5" hidden="1" customHeight="1" x14ac:dyDescent="0.3">
      <c r="A71" s="99" t="s">
        <v>25</v>
      </c>
      <c r="B71" s="99"/>
      <c r="C71" s="99"/>
      <c r="D71" s="99"/>
      <c r="E71" s="99"/>
      <c r="F71" s="99"/>
      <c r="G71" s="99"/>
      <c r="H71" s="99"/>
      <c r="I71" s="99"/>
      <c r="J71" s="99"/>
      <c r="K71" s="99">
        <v>346209.82</v>
      </c>
      <c r="L71" s="99">
        <v>236275</v>
      </c>
      <c r="M71" s="99"/>
      <c r="N71" s="99">
        <v>17576</v>
      </c>
      <c r="O71" s="100">
        <f>N71/L71*1-1</f>
        <v>-0.92561210453920217</v>
      </c>
      <c r="P71" s="99">
        <f>N71-L71</f>
        <v>-218699</v>
      </c>
      <c r="Q71" s="99"/>
      <c r="R71" s="99"/>
      <c r="S71" s="99">
        <f>SUM(S72:S73)</f>
        <v>195626</v>
      </c>
      <c r="T71" s="100">
        <f>S71/N71*1-1</f>
        <v>10.130291306326809</v>
      </c>
      <c r="U71" s="99">
        <f>S71-N71</f>
        <v>178050</v>
      </c>
      <c r="V71" s="101"/>
      <c r="W71" s="101"/>
      <c r="X71" s="102"/>
      <c r="Y71" s="99">
        <f>SUM(Y72)</f>
        <v>0</v>
      </c>
      <c r="Z71" s="99">
        <f>SUM(Z72)</f>
        <v>0</v>
      </c>
      <c r="AA71" s="99">
        <f>SUM(AA72)</f>
        <v>0</v>
      </c>
      <c r="AB71" s="99">
        <f>SUM(AB72)</f>
        <v>0</v>
      </c>
      <c r="AC71" s="99">
        <f>SUM(AC72:AC73)</f>
        <v>195626</v>
      </c>
      <c r="AD71" s="99"/>
      <c r="AE71" s="99">
        <f>SUM(AE72:AE73)</f>
        <v>649919</v>
      </c>
      <c r="AF71" s="99">
        <f>SUM(AF72:AF73)</f>
        <v>1226066</v>
      </c>
      <c r="AG71" s="99"/>
      <c r="AH71" s="99"/>
      <c r="AI71" s="99"/>
      <c r="AJ71" s="100">
        <f t="shared" ref="AJ71:AJ77" si="15">AF71/AE71*1-1</f>
        <v>0.88649047035092066</v>
      </c>
      <c r="AK71" s="99">
        <f t="shared" ref="AK71:AK80" si="16">AF71-AE71</f>
        <v>576147</v>
      </c>
      <c r="AL71" s="99">
        <f>SUM(AL72)</f>
        <v>0</v>
      </c>
      <c r="AM71" s="99"/>
      <c r="AN71" s="99"/>
      <c r="AO71" s="99">
        <f>SUM(AO72)</f>
        <v>0</v>
      </c>
      <c r="AP71" s="99">
        <f>SUM(AP72)</f>
        <v>0</v>
      </c>
      <c r="AQ71" s="99">
        <f>SUM(AQ72)</f>
        <v>0</v>
      </c>
      <c r="AR71" s="99">
        <f>SUM(AR72:AR73)</f>
        <v>1226066</v>
      </c>
    </row>
    <row r="72" spans="1:44" s="16" customFormat="1" ht="25.5" hidden="1" customHeight="1" x14ac:dyDescent="0.3">
      <c r="A72" s="84"/>
      <c r="B72" s="84"/>
      <c r="C72" s="84"/>
      <c r="D72" s="84"/>
      <c r="E72" s="84"/>
      <c r="F72" s="84"/>
      <c r="G72" s="46" t="s">
        <v>96</v>
      </c>
      <c r="H72" s="84"/>
      <c r="I72" s="84"/>
      <c r="J72" s="84"/>
      <c r="K72" s="84"/>
      <c r="L72" s="84"/>
      <c r="M72" s="84"/>
      <c r="N72" s="84"/>
      <c r="O72" s="20"/>
      <c r="P72" s="68"/>
      <c r="Q72" s="68"/>
      <c r="R72" s="84"/>
      <c r="S72" s="46">
        <v>65496</v>
      </c>
      <c r="T72" s="20"/>
      <c r="U72" s="68"/>
      <c r="V72" s="15"/>
      <c r="W72" s="15"/>
      <c r="Y72" s="46"/>
      <c r="Z72" s="46"/>
      <c r="AA72" s="46"/>
      <c r="AB72" s="46"/>
      <c r="AC72" s="46">
        <v>65496</v>
      </c>
      <c r="AD72" s="84"/>
      <c r="AE72" s="46">
        <v>76597</v>
      </c>
      <c r="AF72" s="46">
        <v>48017</v>
      </c>
      <c r="AG72" s="46"/>
      <c r="AH72" s="46"/>
      <c r="AI72" s="46"/>
      <c r="AJ72" s="12">
        <f t="shared" si="15"/>
        <v>-0.37312166272830527</v>
      </c>
      <c r="AK72" s="69">
        <f t="shared" si="16"/>
        <v>-28580</v>
      </c>
      <c r="AL72" s="46"/>
      <c r="AM72" s="46"/>
      <c r="AN72" s="46"/>
      <c r="AO72" s="46"/>
      <c r="AP72" s="46"/>
      <c r="AQ72" s="46"/>
      <c r="AR72" s="46">
        <f>SUM(AF72)</f>
        <v>48017</v>
      </c>
    </row>
    <row r="73" spans="1:44" s="16" customFormat="1" ht="25.5" hidden="1" customHeight="1" x14ac:dyDescent="0.3">
      <c r="A73" s="84"/>
      <c r="B73" s="111"/>
      <c r="C73" s="111"/>
      <c r="D73" s="111"/>
      <c r="E73" s="111"/>
      <c r="F73" s="111"/>
      <c r="G73" s="112" t="s">
        <v>163</v>
      </c>
      <c r="H73" s="84"/>
      <c r="I73" s="84"/>
      <c r="J73" s="84"/>
      <c r="K73" s="84"/>
      <c r="L73" s="84"/>
      <c r="M73" s="84"/>
      <c r="N73" s="84"/>
      <c r="O73" s="20"/>
      <c r="P73" s="68"/>
      <c r="Q73" s="68"/>
      <c r="R73" s="84"/>
      <c r="S73" s="46">
        <v>130130</v>
      </c>
      <c r="T73" s="20"/>
      <c r="U73" s="68"/>
      <c r="V73" s="15"/>
      <c r="W73" s="15"/>
      <c r="Y73" s="46"/>
      <c r="Z73" s="46"/>
      <c r="AA73" s="46"/>
      <c r="AB73" s="46"/>
      <c r="AC73" s="46">
        <v>130130</v>
      </c>
      <c r="AD73" s="84"/>
      <c r="AE73" s="46">
        <v>573322</v>
      </c>
      <c r="AF73" s="46">
        <v>1178049</v>
      </c>
      <c r="AG73" s="46"/>
      <c r="AH73" s="46"/>
      <c r="AI73" s="46"/>
      <c r="AJ73" s="12">
        <f t="shared" si="15"/>
        <v>1.0547772455967155</v>
      </c>
      <c r="AK73" s="69">
        <f t="shared" si="16"/>
        <v>604727</v>
      </c>
      <c r="AL73" s="46"/>
      <c r="AM73" s="46"/>
      <c r="AN73" s="46"/>
      <c r="AO73" s="46"/>
      <c r="AP73" s="46"/>
      <c r="AQ73" s="46"/>
      <c r="AR73" s="46">
        <f>SUM(AF73)</f>
        <v>1178049</v>
      </c>
    </row>
    <row r="74" spans="1:44" ht="24.75" hidden="1" customHeight="1" x14ac:dyDescent="0.35">
      <c r="A74" s="360" t="s">
        <v>134</v>
      </c>
      <c r="B74" s="361"/>
      <c r="C74" s="361"/>
      <c r="D74" s="361"/>
      <c r="E74" s="361"/>
      <c r="F74" s="361"/>
      <c r="G74" s="362"/>
      <c r="H74" s="99">
        <f>SUM(H75:H83)</f>
        <v>4870697</v>
      </c>
      <c r="I74" s="99"/>
      <c r="J74" s="99">
        <f>SUM(J75:J83)</f>
        <v>4518960</v>
      </c>
      <c r="K74" s="99">
        <f>SUM(K75:K83)</f>
        <v>4558932.46</v>
      </c>
      <c r="L74" s="99">
        <f>SUM(L75:L83)</f>
        <v>4826386</v>
      </c>
      <c r="M74" s="99"/>
      <c r="N74" s="99">
        <f>SUM(N75:N83)</f>
        <v>4897900</v>
      </c>
      <c r="O74" s="100">
        <f t="shared" ref="O74:O87" si="17">N74/L74*1-1</f>
        <v>1.4817298077692165E-2</v>
      </c>
      <c r="P74" s="99">
        <f>N74-L74</f>
        <v>71514</v>
      </c>
      <c r="Q74" s="99"/>
      <c r="R74" s="99">
        <f>SUM(R75:R83)</f>
        <v>0</v>
      </c>
      <c r="S74" s="99">
        <f>SUM(S75:S83)</f>
        <v>5514915</v>
      </c>
      <c r="T74" s="100">
        <f>S74/N74*1-1</f>
        <v>0.1259754180363013</v>
      </c>
      <c r="U74" s="99">
        <f t="shared" ref="U74:U79" si="18">S74-N74</f>
        <v>617015</v>
      </c>
      <c r="V74" s="101">
        <f>SUM(V75:V83)</f>
        <v>0</v>
      </c>
      <c r="W74" s="101">
        <f>SUM(W75:W83)</f>
        <v>0</v>
      </c>
      <c r="X74" s="103"/>
      <c r="Y74" s="99">
        <f t="shared" ref="Y74:AF74" si="19">SUM(Y75:Y83)</f>
        <v>0</v>
      </c>
      <c r="Z74" s="99">
        <f t="shared" si="19"/>
        <v>0</v>
      </c>
      <c r="AA74" s="99">
        <f t="shared" si="19"/>
        <v>0</v>
      </c>
      <c r="AB74" s="99">
        <f t="shared" si="19"/>
        <v>5514915</v>
      </c>
      <c r="AC74" s="99">
        <f t="shared" si="19"/>
        <v>0</v>
      </c>
      <c r="AD74" s="99">
        <f t="shared" si="19"/>
        <v>5374593</v>
      </c>
      <c r="AE74" s="99">
        <f t="shared" si="19"/>
        <v>6162558</v>
      </c>
      <c r="AF74" s="99">
        <f t="shared" si="19"/>
        <v>7723871</v>
      </c>
      <c r="AG74" s="99"/>
      <c r="AH74" s="99"/>
      <c r="AI74" s="99"/>
      <c r="AJ74" s="100">
        <f t="shared" si="15"/>
        <v>0.25335469459273252</v>
      </c>
      <c r="AK74" s="99">
        <f t="shared" si="16"/>
        <v>1561313</v>
      </c>
      <c r="AL74" s="99">
        <f>SUM(AL75:AL83)</f>
        <v>0</v>
      </c>
      <c r="AM74" s="99"/>
      <c r="AN74" s="99"/>
      <c r="AO74" s="99">
        <f>SUM(AO75:AO83)</f>
        <v>0</v>
      </c>
      <c r="AP74" s="99">
        <f>SUM(AP75:AP83)</f>
        <v>0</v>
      </c>
      <c r="AQ74" s="99">
        <f>SUM(AQ75:AQ83)</f>
        <v>7723871</v>
      </c>
      <c r="AR74" s="99">
        <f>SUM(AR75:AR83)</f>
        <v>0</v>
      </c>
    </row>
    <row r="75" spans="1:44" ht="23.25" hidden="1" customHeight="1" x14ac:dyDescent="0.35">
      <c r="A75" s="3"/>
      <c r="B75" s="3"/>
      <c r="C75" s="3"/>
      <c r="D75" s="3"/>
      <c r="E75" s="3"/>
      <c r="F75" s="3"/>
      <c r="G75" s="28" t="s">
        <v>135</v>
      </c>
      <c r="H75" s="3">
        <v>1270256</v>
      </c>
      <c r="I75" s="3"/>
      <c r="J75" s="3">
        <v>851702</v>
      </c>
      <c r="K75" s="69">
        <v>830384.94</v>
      </c>
      <c r="L75" s="13">
        <v>925830</v>
      </c>
      <c r="M75" s="13"/>
      <c r="N75" s="33">
        <v>963700</v>
      </c>
      <c r="O75" s="12">
        <f t="shared" si="17"/>
        <v>4.090383763757921E-2</v>
      </c>
      <c r="P75" s="3">
        <f>N75-L75</f>
        <v>37870</v>
      </c>
      <c r="Q75" s="3"/>
      <c r="R75" s="33"/>
      <c r="S75" s="33">
        <v>988792</v>
      </c>
      <c r="T75" s="37">
        <f t="shared" ref="T75:T85" si="20">S75/N75*1-1</f>
        <v>2.6037148490194006E-2</v>
      </c>
      <c r="U75" s="69">
        <f t="shared" si="18"/>
        <v>25092</v>
      </c>
      <c r="V75" s="33"/>
      <c r="W75" s="33"/>
      <c r="Y75" s="33"/>
      <c r="Z75" s="33"/>
      <c r="AA75" s="33"/>
      <c r="AB75" s="33">
        <v>988792</v>
      </c>
      <c r="AC75" s="33"/>
      <c r="AD75" s="33">
        <v>1276681</v>
      </c>
      <c r="AE75" s="33">
        <v>1118202</v>
      </c>
      <c r="AF75" s="33">
        <v>1490326</v>
      </c>
      <c r="AG75" s="33"/>
      <c r="AH75" s="33"/>
      <c r="AI75" s="33"/>
      <c r="AJ75" s="12">
        <f t="shared" si="15"/>
        <v>0.33278781472399444</v>
      </c>
      <c r="AK75" s="69">
        <f t="shared" si="16"/>
        <v>372124</v>
      </c>
      <c r="AL75" s="33"/>
      <c r="AM75" s="33"/>
      <c r="AN75" s="33"/>
      <c r="AO75" s="33"/>
      <c r="AP75" s="33"/>
      <c r="AQ75" s="33">
        <f t="shared" ref="AQ75:AQ83" si="21">SUM(AF75)</f>
        <v>1490326</v>
      </c>
      <c r="AR75" s="33"/>
    </row>
    <row r="76" spans="1:44" ht="28.4" hidden="1" customHeight="1" x14ac:dyDescent="0.35">
      <c r="A76" s="3"/>
      <c r="B76" s="3"/>
      <c r="C76" s="3"/>
      <c r="D76" s="3"/>
      <c r="E76" s="3"/>
      <c r="F76" s="3"/>
      <c r="G76" s="29" t="s">
        <v>173</v>
      </c>
      <c r="H76" s="3">
        <v>3578835</v>
      </c>
      <c r="I76" s="3"/>
      <c r="J76" s="3">
        <v>3643232</v>
      </c>
      <c r="K76" s="70">
        <v>3704230.47</v>
      </c>
      <c r="L76" s="13">
        <v>3850000</v>
      </c>
      <c r="M76" s="13"/>
      <c r="N76" s="13">
        <v>3905000</v>
      </c>
      <c r="O76" s="12">
        <f t="shared" si="17"/>
        <v>1.4285714285714235E-2</v>
      </c>
      <c r="P76" s="3">
        <f>N76-L76</f>
        <v>55000</v>
      </c>
      <c r="Q76" s="3"/>
      <c r="R76" s="13"/>
      <c r="S76" s="13">
        <v>4053400</v>
      </c>
      <c r="T76" s="37">
        <f t="shared" si="20"/>
        <v>3.8002560819462294E-2</v>
      </c>
      <c r="U76" s="69">
        <f t="shared" si="18"/>
        <v>148400</v>
      </c>
      <c r="V76" s="13"/>
      <c r="W76" s="13"/>
      <c r="Y76" s="13"/>
      <c r="Z76" s="13"/>
      <c r="AA76" s="13"/>
      <c r="AB76" s="13">
        <v>4053400</v>
      </c>
      <c r="AC76" s="13"/>
      <c r="AD76" s="13">
        <v>4073712</v>
      </c>
      <c r="AE76" s="13">
        <v>4356200</v>
      </c>
      <c r="AF76" s="13">
        <v>5010500</v>
      </c>
      <c r="AG76" s="13"/>
      <c r="AH76" s="13"/>
      <c r="AI76" s="13"/>
      <c r="AJ76" s="12">
        <f t="shared" si="15"/>
        <v>0.15019971534823928</v>
      </c>
      <c r="AK76" s="69">
        <f t="shared" si="16"/>
        <v>654300</v>
      </c>
      <c r="AL76" s="13"/>
      <c r="AM76" s="13"/>
      <c r="AN76" s="13"/>
      <c r="AO76" s="13"/>
      <c r="AP76" s="13"/>
      <c r="AQ76" s="33">
        <f t="shared" si="21"/>
        <v>5010500</v>
      </c>
      <c r="AR76" s="13"/>
    </row>
    <row r="77" spans="1:44" ht="30" hidden="1" customHeight="1" x14ac:dyDescent="0.35">
      <c r="A77" s="3"/>
      <c r="B77" s="3"/>
      <c r="C77" s="3"/>
      <c r="D77" s="3"/>
      <c r="E77" s="3"/>
      <c r="F77" s="3"/>
      <c r="G77" s="28" t="s">
        <v>136</v>
      </c>
      <c r="H77" s="3">
        <v>21606</v>
      </c>
      <c r="I77" s="3"/>
      <c r="J77" s="3">
        <v>23476</v>
      </c>
      <c r="K77" s="69">
        <v>23476</v>
      </c>
      <c r="L77" s="13">
        <v>28000</v>
      </c>
      <c r="M77" s="13"/>
      <c r="N77" s="13">
        <v>29200</v>
      </c>
      <c r="O77" s="12">
        <f t="shared" si="17"/>
        <v>4.2857142857142927E-2</v>
      </c>
      <c r="P77" s="3">
        <f>N77-L77</f>
        <v>1200</v>
      </c>
      <c r="Q77" s="3"/>
      <c r="R77" s="13"/>
      <c r="S77" s="13">
        <v>27900</v>
      </c>
      <c r="T77" s="37">
        <f t="shared" si="20"/>
        <v>-4.4520547945205435E-2</v>
      </c>
      <c r="U77" s="69">
        <f t="shared" si="18"/>
        <v>-1300</v>
      </c>
      <c r="V77" s="13"/>
      <c r="W77" s="13"/>
      <c r="Y77" s="13"/>
      <c r="Z77" s="13"/>
      <c r="AA77" s="13"/>
      <c r="AB77" s="13">
        <v>27900</v>
      </c>
      <c r="AC77" s="13"/>
      <c r="AD77" s="13">
        <v>24200</v>
      </c>
      <c r="AE77" s="13">
        <v>24300</v>
      </c>
      <c r="AF77" s="13">
        <v>22900</v>
      </c>
      <c r="AG77" s="13"/>
      <c r="AH77" s="13"/>
      <c r="AI77" s="13"/>
      <c r="AJ77" s="12">
        <f t="shared" si="15"/>
        <v>-5.7613168724279795E-2</v>
      </c>
      <c r="AK77" s="69">
        <f t="shared" si="16"/>
        <v>-1400</v>
      </c>
      <c r="AL77" s="13"/>
      <c r="AM77" s="13"/>
      <c r="AN77" s="13"/>
      <c r="AO77" s="13"/>
      <c r="AP77" s="13"/>
      <c r="AQ77" s="33">
        <f t="shared" si="21"/>
        <v>22900</v>
      </c>
      <c r="AR77" s="13"/>
    </row>
    <row r="78" spans="1:44" ht="30" hidden="1" customHeight="1" x14ac:dyDescent="0.35">
      <c r="A78" s="3"/>
      <c r="B78" s="3"/>
      <c r="C78" s="3"/>
      <c r="D78" s="3"/>
      <c r="E78" s="3"/>
      <c r="F78" s="3"/>
      <c r="G78" s="28" t="s">
        <v>137</v>
      </c>
      <c r="H78" s="3"/>
      <c r="I78" s="3"/>
      <c r="J78" s="3"/>
      <c r="K78" s="69"/>
      <c r="L78" s="13"/>
      <c r="M78" s="13"/>
      <c r="N78" s="13"/>
      <c r="O78" s="12"/>
      <c r="P78" s="3"/>
      <c r="Q78" s="3"/>
      <c r="R78" s="13"/>
      <c r="S78" s="13">
        <v>13623</v>
      </c>
      <c r="T78" s="37"/>
      <c r="U78" s="69">
        <f t="shared" si="18"/>
        <v>13623</v>
      </c>
      <c r="V78" s="13"/>
      <c r="W78" s="13"/>
      <c r="Y78" s="13"/>
      <c r="Z78" s="13"/>
      <c r="AA78" s="13"/>
      <c r="AB78" s="13">
        <v>13623</v>
      </c>
      <c r="AC78" s="13"/>
      <c r="AD78" s="13"/>
      <c r="AE78" s="13"/>
      <c r="AF78" s="13">
        <v>18500</v>
      </c>
      <c r="AG78" s="13"/>
      <c r="AH78" s="13"/>
      <c r="AI78" s="13"/>
      <c r="AJ78" s="12"/>
      <c r="AK78" s="69">
        <f t="shared" si="16"/>
        <v>18500</v>
      </c>
      <c r="AL78" s="13"/>
      <c r="AM78" s="13"/>
      <c r="AN78" s="13"/>
      <c r="AO78" s="13"/>
      <c r="AP78" s="13"/>
      <c r="AQ78" s="33">
        <f t="shared" si="21"/>
        <v>18500</v>
      </c>
      <c r="AR78" s="13"/>
    </row>
    <row r="79" spans="1:44" ht="30" hidden="1" customHeight="1" x14ac:dyDescent="0.35">
      <c r="A79" s="3"/>
      <c r="B79" s="3"/>
      <c r="C79" s="3"/>
      <c r="D79" s="3"/>
      <c r="E79" s="3"/>
      <c r="F79" s="3"/>
      <c r="G79" s="28" t="s">
        <v>138</v>
      </c>
      <c r="H79" s="3"/>
      <c r="I79" s="3"/>
      <c r="J79" s="3"/>
      <c r="K79" s="69"/>
      <c r="L79" s="13"/>
      <c r="M79" s="13"/>
      <c r="N79" s="13"/>
      <c r="O79" s="12"/>
      <c r="P79" s="3"/>
      <c r="Q79" s="3"/>
      <c r="R79" s="13"/>
      <c r="S79" s="13">
        <v>431200</v>
      </c>
      <c r="T79" s="37"/>
      <c r="U79" s="69">
        <f t="shared" si="18"/>
        <v>431200</v>
      </c>
      <c r="V79" s="13"/>
      <c r="W79" s="13"/>
      <c r="Y79" s="13"/>
      <c r="Z79" s="13"/>
      <c r="AA79" s="13"/>
      <c r="AB79" s="13">
        <v>431200</v>
      </c>
      <c r="AC79" s="13"/>
      <c r="AD79" s="13"/>
      <c r="AE79" s="13">
        <v>663856</v>
      </c>
      <c r="AF79" s="13">
        <v>334645</v>
      </c>
      <c r="AG79" s="13"/>
      <c r="AH79" s="13"/>
      <c r="AI79" s="13"/>
      <c r="AJ79" s="12">
        <f>AF79/AE79*1-1</f>
        <v>-0.49590724494468685</v>
      </c>
      <c r="AK79" s="69">
        <f t="shared" si="16"/>
        <v>-329211</v>
      </c>
      <c r="AL79" s="13"/>
      <c r="AM79" s="13"/>
      <c r="AN79" s="13"/>
      <c r="AO79" s="13"/>
      <c r="AP79" s="13"/>
      <c r="AQ79" s="33">
        <f t="shared" si="21"/>
        <v>334645</v>
      </c>
      <c r="AR79" s="13"/>
    </row>
    <row r="80" spans="1:44" ht="27.75" hidden="1" customHeight="1" x14ac:dyDescent="0.35">
      <c r="A80" s="3"/>
      <c r="B80" s="3"/>
      <c r="C80" s="3"/>
      <c r="D80" s="3"/>
      <c r="E80" s="3"/>
      <c r="F80" s="3"/>
      <c r="G80" s="28" t="s">
        <v>139</v>
      </c>
      <c r="H80" s="3"/>
      <c r="I80" s="3"/>
      <c r="J80" s="3">
        <v>550</v>
      </c>
      <c r="K80" s="69">
        <v>841.05</v>
      </c>
      <c r="L80" s="3"/>
      <c r="M80" s="3"/>
      <c r="N80" s="13"/>
      <c r="O80" s="21" t="e">
        <f t="shared" si="17"/>
        <v>#DIV/0!</v>
      </c>
      <c r="P80" s="3">
        <f>N80-L80</f>
        <v>0</v>
      </c>
      <c r="Q80" s="3"/>
      <c r="R80" s="13"/>
      <c r="S80" s="13"/>
      <c r="T80" s="37"/>
      <c r="U80" s="3">
        <f t="shared" ref="U80:U87" si="22">S80-Q80</f>
        <v>0</v>
      </c>
      <c r="V80" s="13"/>
      <c r="W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2"/>
      <c r="AK80" s="69">
        <f t="shared" si="16"/>
        <v>0</v>
      </c>
      <c r="AL80" s="13"/>
      <c r="AM80" s="13"/>
      <c r="AN80" s="13"/>
      <c r="AO80" s="13"/>
      <c r="AP80" s="13"/>
      <c r="AQ80" s="33">
        <f t="shared" si="21"/>
        <v>0</v>
      </c>
      <c r="AR80" s="13"/>
    </row>
    <row r="81" spans="1:44" hidden="1" x14ac:dyDescent="0.35">
      <c r="A81" s="3"/>
      <c r="B81" s="3"/>
      <c r="C81" s="3"/>
      <c r="D81" s="3"/>
      <c r="E81" s="3"/>
      <c r="F81" s="3"/>
      <c r="G81" s="28" t="s">
        <v>97</v>
      </c>
      <c r="H81" s="3"/>
      <c r="I81" s="3"/>
      <c r="J81" s="3"/>
      <c r="K81" s="69"/>
      <c r="L81" s="13">
        <v>22556</v>
      </c>
      <c r="M81" s="13"/>
      <c r="N81" s="13"/>
      <c r="O81" s="12"/>
      <c r="P81" s="3">
        <f>N81-L81</f>
        <v>-22556</v>
      </c>
      <c r="Q81" s="3"/>
      <c r="R81" s="13"/>
      <c r="S81" s="13"/>
      <c r="T81" s="37"/>
      <c r="U81" s="3">
        <f t="shared" si="22"/>
        <v>0</v>
      </c>
      <c r="V81" s="13"/>
      <c r="W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37"/>
      <c r="AK81" s="69">
        <f>AE81-S81</f>
        <v>0</v>
      </c>
      <c r="AL81" s="13"/>
      <c r="AM81" s="13"/>
      <c r="AN81" s="13"/>
      <c r="AO81" s="13"/>
      <c r="AP81" s="13"/>
      <c r="AQ81" s="33">
        <f t="shared" si="21"/>
        <v>0</v>
      </c>
      <c r="AR81" s="13"/>
    </row>
    <row r="82" spans="1:44" hidden="1" x14ac:dyDescent="0.35">
      <c r="A82" s="3"/>
      <c r="B82" s="3"/>
      <c r="C82" s="3"/>
      <c r="D82" s="3"/>
      <c r="E82" s="3"/>
      <c r="F82" s="3"/>
      <c r="G82" s="28" t="s">
        <v>207</v>
      </c>
      <c r="H82" s="3"/>
      <c r="I82" s="3"/>
      <c r="J82" s="3"/>
      <c r="K82" s="69"/>
      <c r="L82" s="13"/>
      <c r="M82" s="13"/>
      <c r="N82" s="13"/>
      <c r="O82" s="12"/>
      <c r="P82" s="3">
        <f>N82-L82</f>
        <v>0</v>
      </c>
      <c r="Q82" s="3"/>
      <c r="R82" s="13"/>
      <c r="S82" s="13"/>
      <c r="T82" s="37"/>
      <c r="U82" s="3">
        <f t="shared" si="22"/>
        <v>0</v>
      </c>
      <c r="V82" s="13"/>
      <c r="W82" s="13"/>
      <c r="Y82" s="13"/>
      <c r="Z82" s="13"/>
      <c r="AA82" s="13"/>
      <c r="AB82" s="13"/>
      <c r="AC82" s="13"/>
      <c r="AD82" s="13"/>
      <c r="AE82" s="13"/>
      <c r="AF82" s="13">
        <v>615000</v>
      </c>
      <c r="AG82" s="13"/>
      <c r="AH82" s="13"/>
      <c r="AI82" s="13"/>
      <c r="AJ82" s="12"/>
      <c r="AK82" s="69">
        <f t="shared" ref="AK82:AK89" si="23">AF82-AE82</f>
        <v>615000</v>
      </c>
      <c r="AL82" s="13"/>
      <c r="AM82" s="13"/>
      <c r="AN82" s="13"/>
      <c r="AO82" s="13"/>
      <c r="AP82" s="13"/>
      <c r="AQ82" s="33">
        <f t="shared" si="21"/>
        <v>615000</v>
      </c>
      <c r="AR82" s="13"/>
    </row>
    <row r="83" spans="1:44" ht="24.5" hidden="1" x14ac:dyDescent="0.35">
      <c r="A83" s="3"/>
      <c r="B83" s="3"/>
      <c r="C83" s="3"/>
      <c r="D83" s="3"/>
      <c r="E83" s="3"/>
      <c r="F83" s="3"/>
      <c r="G83" s="28" t="s">
        <v>218</v>
      </c>
      <c r="H83" s="3"/>
      <c r="I83" s="3"/>
      <c r="J83" s="3"/>
      <c r="K83" s="69"/>
      <c r="L83" s="13"/>
      <c r="M83" s="13"/>
      <c r="N83" s="13"/>
      <c r="O83" s="12"/>
      <c r="P83" s="3">
        <f>N83-L83</f>
        <v>0</v>
      </c>
      <c r="Q83" s="3"/>
      <c r="R83" s="13"/>
      <c r="S83" s="13"/>
      <c r="T83" s="37"/>
      <c r="U83" s="3">
        <f t="shared" si="22"/>
        <v>0</v>
      </c>
      <c r="V83" s="13"/>
      <c r="W83" s="13"/>
      <c r="Y83" s="13"/>
      <c r="Z83" s="13"/>
      <c r="AA83" s="13"/>
      <c r="AB83" s="13"/>
      <c r="AC83" s="13"/>
      <c r="AD83" s="13"/>
      <c r="AE83" s="13"/>
      <c r="AF83" s="13">
        <v>232000</v>
      </c>
      <c r="AG83" s="13"/>
      <c r="AH83" s="13"/>
      <c r="AI83" s="13"/>
      <c r="AJ83" s="12"/>
      <c r="AK83" s="69">
        <f t="shared" si="23"/>
        <v>232000</v>
      </c>
      <c r="AL83" s="13"/>
      <c r="AM83" s="13"/>
      <c r="AN83" s="13"/>
      <c r="AO83" s="13"/>
      <c r="AP83" s="13"/>
      <c r="AQ83" s="33">
        <f t="shared" si="21"/>
        <v>232000</v>
      </c>
      <c r="AR83" s="13"/>
    </row>
    <row r="84" spans="1:44" ht="26.5" hidden="1" customHeight="1" x14ac:dyDescent="0.35">
      <c r="A84" s="104" t="s">
        <v>140</v>
      </c>
      <c r="B84" s="104"/>
      <c r="C84" s="104"/>
      <c r="D84" s="104"/>
      <c r="E84" s="104"/>
      <c r="F84" s="104"/>
      <c r="G84" s="108"/>
      <c r="H84" s="104">
        <f>SUM(H85)</f>
        <v>0</v>
      </c>
      <c r="I84" s="104"/>
      <c r="J84" s="104">
        <f>SUM(J85:J87)</f>
        <v>289620</v>
      </c>
      <c r="K84" s="104">
        <f>SUM(K85)</f>
        <v>0</v>
      </c>
      <c r="L84" s="104">
        <f t="shared" ref="L84:S84" si="24">SUM(L85:L87)</f>
        <v>751800</v>
      </c>
      <c r="M84" s="104">
        <f t="shared" si="24"/>
        <v>0</v>
      </c>
      <c r="N84" s="104">
        <f t="shared" si="24"/>
        <v>43800</v>
      </c>
      <c r="O84" s="104">
        <f t="shared" si="24"/>
        <v>-1</v>
      </c>
      <c r="P84" s="104">
        <f t="shared" si="24"/>
        <v>-751800</v>
      </c>
      <c r="Q84" s="104">
        <f t="shared" si="24"/>
        <v>0</v>
      </c>
      <c r="R84" s="104">
        <f t="shared" si="24"/>
        <v>43800</v>
      </c>
      <c r="S84" s="104">
        <f t="shared" si="24"/>
        <v>0</v>
      </c>
      <c r="T84" s="109">
        <f>S84/N84*1-1</f>
        <v>-1</v>
      </c>
      <c r="U84" s="106">
        <f>S84-N84</f>
        <v>-43800</v>
      </c>
      <c r="V84" s="104">
        <f>SUM(V85)</f>
        <v>43800</v>
      </c>
      <c r="W84" s="104">
        <f>SUM(W85)</f>
        <v>43800</v>
      </c>
      <c r="X84" s="110"/>
      <c r="Y84" s="104">
        <f t="shared" ref="Y84:AE84" si="25">SUM(Y85:Y87)</f>
        <v>0</v>
      </c>
      <c r="Z84" s="104">
        <f t="shared" si="25"/>
        <v>0</v>
      </c>
      <c r="AA84" s="104">
        <f t="shared" si="25"/>
        <v>0</v>
      </c>
      <c r="AB84" s="104">
        <f t="shared" si="25"/>
        <v>0</v>
      </c>
      <c r="AC84" s="104">
        <f t="shared" si="25"/>
        <v>0</v>
      </c>
      <c r="AD84" s="104">
        <f t="shared" si="25"/>
        <v>0</v>
      </c>
      <c r="AE84" s="104">
        <f t="shared" si="25"/>
        <v>49700</v>
      </c>
      <c r="AF84" s="104">
        <f t="shared" ref="AF84" si="26">SUM(AF85:AF87)</f>
        <v>898800</v>
      </c>
      <c r="AG84" s="104"/>
      <c r="AH84" s="104"/>
      <c r="AI84" s="104"/>
      <c r="AJ84" s="136">
        <f>AF84/AE84*1-1</f>
        <v>17.08450704225352</v>
      </c>
      <c r="AK84" s="106">
        <f t="shared" si="23"/>
        <v>849100</v>
      </c>
      <c r="AL84" s="104">
        <f>SUM(AL85:AL87)</f>
        <v>0</v>
      </c>
      <c r="AM84" s="104"/>
      <c r="AN84" s="104"/>
      <c r="AO84" s="104">
        <f>SUM(AO85:AO87)</f>
        <v>0</v>
      </c>
      <c r="AP84" s="104">
        <f>SUM(AP85:AP87)</f>
        <v>0</v>
      </c>
      <c r="AQ84" s="104">
        <f>SUM(AQ85:AQ87)</f>
        <v>898800</v>
      </c>
      <c r="AR84" s="104">
        <f>SUM(AR85:AR87)</f>
        <v>0</v>
      </c>
    </row>
    <row r="85" spans="1:44" ht="30" hidden="1" customHeight="1" x14ac:dyDescent="0.35">
      <c r="A85" s="17"/>
      <c r="B85" s="17"/>
      <c r="C85" s="17"/>
      <c r="D85" s="17"/>
      <c r="E85" s="17"/>
      <c r="F85" s="17"/>
      <c r="G85" s="28" t="s">
        <v>141</v>
      </c>
      <c r="H85" s="3"/>
      <c r="I85" s="3"/>
      <c r="J85" s="3"/>
      <c r="K85" s="69"/>
      <c r="L85" s="105"/>
      <c r="M85" s="105"/>
      <c r="N85" s="105">
        <v>43800</v>
      </c>
      <c r="O85" s="12"/>
      <c r="P85" s="69"/>
      <c r="Q85" s="69"/>
      <c r="R85" s="105">
        <v>43800</v>
      </c>
      <c r="S85" s="105"/>
      <c r="T85" s="12">
        <f t="shared" si="20"/>
        <v>-1</v>
      </c>
      <c r="U85" s="69">
        <f>S85-N85</f>
        <v>-43800</v>
      </c>
      <c r="V85" s="19">
        <v>43800</v>
      </c>
      <c r="W85" s="19">
        <v>43800</v>
      </c>
      <c r="Y85" s="19"/>
      <c r="Z85" s="19"/>
      <c r="AA85" s="19"/>
      <c r="AB85" s="19"/>
      <c r="AC85" s="19"/>
      <c r="AD85" s="105"/>
      <c r="AE85" s="105">
        <v>49700</v>
      </c>
      <c r="AF85" s="105">
        <v>53100</v>
      </c>
      <c r="AG85" s="105"/>
      <c r="AH85" s="105"/>
      <c r="AI85" s="105"/>
      <c r="AJ85" s="12">
        <f>AF85/AE85*1-1</f>
        <v>6.8410462776659964E-2</v>
      </c>
      <c r="AK85" s="69">
        <f t="shared" si="23"/>
        <v>3400</v>
      </c>
      <c r="AL85" s="19"/>
      <c r="AM85" s="19"/>
      <c r="AN85" s="19"/>
      <c r="AO85" s="19"/>
      <c r="AP85" s="19"/>
      <c r="AQ85" s="33">
        <f>SUM(AF85)</f>
        <v>53100</v>
      </c>
      <c r="AR85" s="19"/>
    </row>
    <row r="86" spans="1:44" ht="40.4" hidden="1" customHeight="1" x14ac:dyDescent="0.35">
      <c r="A86" s="17"/>
      <c r="B86" s="9"/>
      <c r="C86" s="9"/>
      <c r="D86" s="9"/>
      <c r="E86" s="9"/>
      <c r="F86" s="9"/>
      <c r="G86" s="28" t="s">
        <v>142</v>
      </c>
      <c r="H86" s="3"/>
      <c r="I86" s="3"/>
      <c r="J86" s="3"/>
      <c r="K86" s="68">
        <v>568874.97</v>
      </c>
      <c r="L86" s="105">
        <v>451800</v>
      </c>
      <c r="M86" s="105"/>
      <c r="N86" s="105"/>
      <c r="O86" s="12"/>
      <c r="P86" s="105">
        <f>N86-L86</f>
        <v>-451800</v>
      </c>
      <c r="Q86" s="105"/>
      <c r="R86" s="105"/>
      <c r="S86" s="105"/>
      <c r="T86" s="12"/>
      <c r="U86" s="105">
        <f t="shared" si="22"/>
        <v>0</v>
      </c>
      <c r="V86" s="19"/>
      <c r="W86" s="19"/>
      <c r="X86" s="107"/>
      <c r="Y86" s="19"/>
      <c r="Z86" s="19"/>
      <c r="AA86" s="19"/>
      <c r="AB86" s="19"/>
      <c r="AC86" s="19"/>
      <c r="AD86" s="105"/>
      <c r="AE86" s="105"/>
      <c r="AF86" s="105">
        <v>845700</v>
      </c>
      <c r="AG86" s="105"/>
      <c r="AH86" s="105"/>
      <c r="AI86" s="105"/>
      <c r="AJ86" s="12"/>
      <c r="AK86" s="69">
        <f t="shared" si="23"/>
        <v>845700</v>
      </c>
      <c r="AL86" s="19"/>
      <c r="AM86" s="19"/>
      <c r="AN86" s="19"/>
      <c r="AO86" s="19"/>
      <c r="AP86" s="19"/>
      <c r="AQ86" s="33">
        <f>SUM(AF86)</f>
        <v>845700</v>
      </c>
      <c r="AR86" s="19"/>
    </row>
    <row r="87" spans="1:44" ht="23.5" hidden="1" customHeight="1" x14ac:dyDescent="0.35">
      <c r="A87" s="3"/>
      <c r="B87" s="3"/>
      <c r="C87" s="3"/>
      <c r="D87" s="3"/>
      <c r="E87" s="3"/>
      <c r="F87" s="3"/>
      <c r="G87" s="4" t="s">
        <v>143</v>
      </c>
      <c r="H87" s="3">
        <v>196942</v>
      </c>
      <c r="I87" s="3"/>
      <c r="J87" s="3">
        <v>289620</v>
      </c>
      <c r="K87" s="3">
        <v>289082.69</v>
      </c>
      <c r="L87" s="105">
        <v>300000</v>
      </c>
      <c r="M87" s="105"/>
      <c r="N87" s="105"/>
      <c r="O87" s="12">
        <f t="shared" si="17"/>
        <v>-1</v>
      </c>
      <c r="P87" s="105">
        <f>N87-L87</f>
        <v>-300000</v>
      </c>
      <c r="Q87" s="105"/>
      <c r="R87" s="105"/>
      <c r="S87" s="105"/>
      <c r="T87" s="12"/>
      <c r="U87" s="105">
        <f t="shared" si="22"/>
        <v>0</v>
      </c>
      <c r="V87" s="13"/>
      <c r="W87" s="13"/>
      <c r="X87" s="107"/>
      <c r="Y87" s="13"/>
      <c r="Z87" s="13"/>
      <c r="AA87" s="13"/>
      <c r="AB87" s="13"/>
      <c r="AC87" s="13"/>
      <c r="AD87" s="105"/>
      <c r="AE87" s="105"/>
      <c r="AF87" s="105"/>
      <c r="AG87" s="105"/>
      <c r="AH87" s="105"/>
      <c r="AI87" s="105"/>
      <c r="AJ87" s="12"/>
      <c r="AK87" s="69">
        <f t="shared" si="23"/>
        <v>0</v>
      </c>
      <c r="AL87" s="13"/>
      <c r="AM87" s="13"/>
      <c r="AN87" s="13"/>
      <c r="AO87" s="13"/>
      <c r="AP87" s="13"/>
      <c r="AQ87" s="33">
        <f>SUM(AF87)</f>
        <v>0</v>
      </c>
      <c r="AR87" s="13"/>
    </row>
    <row r="88" spans="1:44" ht="33" hidden="1" customHeight="1" x14ac:dyDescent="0.35">
      <c r="A88" s="44" t="s">
        <v>144</v>
      </c>
      <c r="B88" s="44"/>
      <c r="C88" s="44"/>
      <c r="D88" s="44"/>
      <c r="E88" s="44"/>
      <c r="F88" s="44"/>
      <c r="G88" s="44"/>
      <c r="H88" s="44" t="e">
        <f>SUM(H70,H74,#REF!)</f>
        <v>#REF!</v>
      </c>
      <c r="I88" s="44"/>
      <c r="J88" s="44">
        <f>SUM(J89,J94,J100,J106)</f>
        <v>937210</v>
      </c>
      <c r="K88" s="44"/>
      <c r="L88" s="44">
        <f t="shared" ref="L88:AI88" si="27">SUM(L89,L94,L100,L106)</f>
        <v>961970</v>
      </c>
      <c r="M88" s="44">
        <f t="shared" si="27"/>
        <v>1043258.52</v>
      </c>
      <c r="N88" s="44">
        <f t="shared" si="27"/>
        <v>1013400</v>
      </c>
      <c r="O88" s="44">
        <f t="shared" si="27"/>
        <v>-0.44564517111890245</v>
      </c>
      <c r="P88" s="44">
        <f t="shared" si="27"/>
        <v>51430</v>
      </c>
      <c r="Q88" s="44">
        <f t="shared" si="27"/>
        <v>660612.47</v>
      </c>
      <c r="R88" s="44">
        <f t="shared" si="27"/>
        <v>1980650</v>
      </c>
      <c r="S88" s="44">
        <f t="shared" si="27"/>
        <v>1711000</v>
      </c>
      <c r="T88" s="44">
        <f t="shared" si="27"/>
        <v>199.55539038523662</v>
      </c>
      <c r="U88" s="44">
        <f t="shared" si="27"/>
        <v>697600</v>
      </c>
      <c r="V88" s="44">
        <f t="shared" si="27"/>
        <v>2182768</v>
      </c>
      <c r="W88" s="44">
        <f t="shared" si="27"/>
        <v>2179328</v>
      </c>
      <c r="X88" s="44">
        <f t="shared" si="27"/>
        <v>1576000</v>
      </c>
      <c r="Y88" s="44">
        <f t="shared" si="27"/>
        <v>627500</v>
      </c>
      <c r="Z88" s="44">
        <f t="shared" si="27"/>
        <v>1043500</v>
      </c>
      <c r="AA88" s="44">
        <f t="shared" si="27"/>
        <v>40000</v>
      </c>
      <c r="AB88" s="44">
        <f t="shared" si="27"/>
        <v>0</v>
      </c>
      <c r="AC88" s="44">
        <f t="shared" si="27"/>
        <v>0</v>
      </c>
      <c r="AD88" s="44">
        <f t="shared" si="27"/>
        <v>1744493</v>
      </c>
      <c r="AE88" s="44">
        <f t="shared" si="27"/>
        <v>1845350</v>
      </c>
      <c r="AF88" s="44">
        <f t="shared" si="27"/>
        <v>1970300</v>
      </c>
      <c r="AG88" s="44">
        <f t="shared" si="27"/>
        <v>1762350</v>
      </c>
      <c r="AH88" s="44"/>
      <c r="AI88" s="44">
        <f t="shared" si="27"/>
        <v>1763000</v>
      </c>
      <c r="AJ88" s="45">
        <f>AF88/AE88*1-1</f>
        <v>6.7710732381391026E-2</v>
      </c>
      <c r="AK88" s="44">
        <f t="shared" si="23"/>
        <v>124950</v>
      </c>
      <c r="AL88" s="44">
        <f t="shared" ref="AL88:AR88" si="28">SUM(AL89,AL94,AL100,AL106)</f>
        <v>654000</v>
      </c>
      <c r="AM88" s="44">
        <f t="shared" si="28"/>
        <v>0</v>
      </c>
      <c r="AN88" s="44">
        <f t="shared" si="28"/>
        <v>60000</v>
      </c>
      <c r="AO88" s="44">
        <f t="shared" si="28"/>
        <v>1012000</v>
      </c>
      <c r="AP88" s="44">
        <f t="shared" si="28"/>
        <v>37000</v>
      </c>
      <c r="AQ88" s="44">
        <f t="shared" si="28"/>
        <v>0</v>
      </c>
      <c r="AR88" s="44">
        <f t="shared" si="28"/>
        <v>0</v>
      </c>
    </row>
    <row r="89" spans="1:44" hidden="1" x14ac:dyDescent="0.35">
      <c r="A89" s="9" t="s">
        <v>145</v>
      </c>
      <c r="B89" s="9"/>
      <c r="C89" s="9"/>
      <c r="D89" s="9"/>
      <c r="E89" s="9"/>
      <c r="F89" s="9"/>
      <c r="G89" s="10" t="s">
        <v>13</v>
      </c>
      <c r="H89" s="9">
        <v>848297</v>
      </c>
      <c r="I89" s="9"/>
      <c r="J89" s="9">
        <v>887106</v>
      </c>
      <c r="K89" s="9"/>
      <c r="L89" s="9">
        <v>913840</v>
      </c>
      <c r="M89" s="9">
        <f>SUM(M90:M93)</f>
        <v>984109.15</v>
      </c>
      <c r="N89" s="15">
        <v>966400</v>
      </c>
      <c r="O89" s="11">
        <f>N89/L89*1-1</f>
        <v>5.7515538825177348E-2</v>
      </c>
      <c r="P89" s="9">
        <f>N89-L89</f>
        <v>52560</v>
      </c>
      <c r="Q89" s="9">
        <f>SUM(Q90:Q93)</f>
        <v>567938.82000000007</v>
      </c>
      <c r="R89" s="9">
        <v>968000</v>
      </c>
      <c r="S89" s="15">
        <v>1043500</v>
      </c>
      <c r="T89" s="11">
        <f>S89/N89*1-1</f>
        <v>7.9780629139072801E-2</v>
      </c>
      <c r="U89" s="9">
        <f>S89-N89</f>
        <v>77100</v>
      </c>
      <c r="V89" s="9">
        <f>SUM(V90:V93)</f>
        <v>969768</v>
      </c>
      <c r="W89" s="9">
        <f>SUM(W90:W93)</f>
        <v>973628</v>
      </c>
      <c r="X89" s="95">
        <v>968000</v>
      </c>
      <c r="Y89" s="15"/>
      <c r="Z89" s="15">
        <v>1043500</v>
      </c>
      <c r="AA89" s="15"/>
      <c r="AB89" s="15"/>
      <c r="AC89" s="15"/>
      <c r="AD89" s="9">
        <f>SUM(AD91:AD93)</f>
        <v>1127803</v>
      </c>
      <c r="AE89" s="9">
        <f>SUM(AE91:AE93)</f>
        <v>1168660</v>
      </c>
      <c r="AF89" s="15">
        <f>SUM(AF91:AF93)</f>
        <v>1240600</v>
      </c>
      <c r="AG89" s="15">
        <f>SUM(AG91:AG93)</f>
        <v>1012350</v>
      </c>
      <c r="AH89" s="15"/>
      <c r="AI89" s="15">
        <f>SUM(AI91:AI93)</f>
        <v>1012000</v>
      </c>
      <c r="AJ89" s="20">
        <f>AF89/AE89*1-1</f>
        <v>6.1557681447127477E-2</v>
      </c>
      <c r="AK89" s="68">
        <f t="shared" si="23"/>
        <v>71940</v>
      </c>
      <c r="AL89" s="15"/>
      <c r="AM89" s="15"/>
      <c r="AN89" s="15"/>
      <c r="AO89" s="15">
        <f>SUM(AI89)</f>
        <v>1012000</v>
      </c>
      <c r="AP89" s="15"/>
      <c r="AQ89" s="15"/>
      <c r="AR89" s="15"/>
    </row>
    <row r="90" spans="1:44" hidden="1" x14ac:dyDescent="0.35">
      <c r="A90" s="8"/>
      <c r="B90" s="8"/>
      <c r="C90" s="8"/>
      <c r="D90" s="8"/>
      <c r="E90" s="8"/>
      <c r="F90" s="8"/>
      <c r="G90" s="29" t="s">
        <v>58</v>
      </c>
      <c r="H90" s="8"/>
      <c r="I90" s="8"/>
      <c r="J90" s="8"/>
      <c r="K90" s="8"/>
      <c r="L90" s="8"/>
      <c r="M90" s="8"/>
      <c r="N90" s="46"/>
      <c r="O90" s="37"/>
      <c r="P90" s="8"/>
      <c r="Q90" s="8"/>
      <c r="R90" s="46"/>
      <c r="S90" s="46"/>
      <c r="T90" s="37"/>
      <c r="U90" s="8"/>
      <c r="V90" s="46"/>
      <c r="W90" s="46"/>
      <c r="X90" s="9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37"/>
      <c r="AK90" s="8"/>
      <c r="AL90" s="46"/>
      <c r="AM90" s="46"/>
      <c r="AN90" s="46"/>
      <c r="AO90" s="46"/>
      <c r="AP90" s="46"/>
      <c r="AQ90" s="46"/>
      <c r="AR90" s="46"/>
    </row>
    <row r="91" spans="1:44" hidden="1" x14ac:dyDescent="0.35">
      <c r="A91" s="8"/>
      <c r="B91" s="8"/>
      <c r="C91" s="8"/>
      <c r="D91" s="8"/>
      <c r="E91" s="8"/>
      <c r="F91" s="8"/>
      <c r="G91" s="29" t="s">
        <v>70</v>
      </c>
      <c r="H91" s="8"/>
      <c r="I91" s="8"/>
      <c r="J91" s="8"/>
      <c r="K91" s="8"/>
      <c r="L91" s="8"/>
      <c r="M91" s="8">
        <v>176411.11</v>
      </c>
      <c r="N91" s="46"/>
      <c r="O91" s="37"/>
      <c r="P91" s="8"/>
      <c r="Q91" s="8">
        <v>114047.88</v>
      </c>
      <c r="R91" s="46">
        <v>153566</v>
      </c>
      <c r="S91" s="46">
        <v>199673</v>
      </c>
      <c r="T91" s="37"/>
      <c r="U91" s="8"/>
      <c r="V91" s="46">
        <v>154566</v>
      </c>
      <c r="W91" s="46">
        <v>156566</v>
      </c>
      <c r="X91" s="96"/>
      <c r="Y91" s="46"/>
      <c r="Z91" s="46"/>
      <c r="AA91" s="46"/>
      <c r="AB91" s="46"/>
      <c r="AC91" s="46"/>
      <c r="AD91" s="46">
        <v>210713</v>
      </c>
      <c r="AE91" s="46">
        <v>244070</v>
      </c>
      <c r="AF91" s="46">
        <v>193600</v>
      </c>
      <c r="AG91" s="46">
        <v>164310</v>
      </c>
      <c r="AH91" s="46"/>
      <c r="AI91" s="46">
        <v>164300</v>
      </c>
      <c r="AJ91" s="12">
        <f>AF91/AE91*1-1</f>
        <v>-0.2067849387470807</v>
      </c>
      <c r="AK91" s="69">
        <f>AF91-AE91</f>
        <v>-50470</v>
      </c>
      <c r="AL91" s="46"/>
      <c r="AM91" s="46"/>
      <c r="AN91" s="46"/>
      <c r="AO91" s="46"/>
      <c r="AP91" s="46"/>
      <c r="AQ91" s="46"/>
      <c r="AR91" s="46"/>
    </row>
    <row r="92" spans="1:44" hidden="1" x14ac:dyDescent="0.35">
      <c r="A92" s="8"/>
      <c r="B92" s="8"/>
      <c r="C92" s="8"/>
      <c r="D92" s="8"/>
      <c r="E92" s="8"/>
      <c r="F92" s="8"/>
      <c r="G92" s="29" t="s">
        <v>71</v>
      </c>
      <c r="H92" s="8"/>
      <c r="I92" s="8"/>
      <c r="J92" s="8"/>
      <c r="K92" s="8"/>
      <c r="L92" s="8"/>
      <c r="M92" s="8">
        <v>101555.5</v>
      </c>
      <c r="N92" s="46"/>
      <c r="O92" s="37"/>
      <c r="P92" s="8"/>
      <c r="Q92" s="8">
        <v>64432.95</v>
      </c>
      <c r="R92" s="46">
        <v>119412</v>
      </c>
      <c r="S92" s="46">
        <v>104597</v>
      </c>
      <c r="T92" s="37"/>
      <c r="U92" s="8"/>
      <c r="V92" s="46">
        <v>120002</v>
      </c>
      <c r="W92" s="46">
        <v>120162</v>
      </c>
      <c r="X92" s="96"/>
      <c r="Y92" s="46"/>
      <c r="Z92" s="46"/>
      <c r="AA92" s="46"/>
      <c r="AB92" s="46"/>
      <c r="AC92" s="46"/>
      <c r="AD92" s="46">
        <v>108090</v>
      </c>
      <c r="AE92" s="46">
        <v>96990</v>
      </c>
      <c r="AF92" s="46">
        <v>180150</v>
      </c>
      <c r="AG92" s="46">
        <v>16150</v>
      </c>
      <c r="AH92" s="46"/>
      <c r="AI92" s="46">
        <v>16100</v>
      </c>
      <c r="AJ92" s="12">
        <f>AF92/AE92*1-1</f>
        <v>0.85740798020414477</v>
      </c>
      <c r="AK92" s="69">
        <f>AF92-AE92</f>
        <v>83160</v>
      </c>
      <c r="AL92" s="46"/>
      <c r="AM92" s="46"/>
      <c r="AN92" s="46"/>
      <c r="AO92" s="46"/>
      <c r="AP92" s="46"/>
      <c r="AQ92" s="46"/>
      <c r="AR92" s="46"/>
    </row>
    <row r="93" spans="1:44" hidden="1" x14ac:dyDescent="0.35">
      <c r="A93" s="8"/>
      <c r="B93" s="8"/>
      <c r="C93" s="8"/>
      <c r="D93" s="8"/>
      <c r="E93" s="8"/>
      <c r="F93" s="8"/>
      <c r="G93" s="28" t="s">
        <v>72</v>
      </c>
      <c r="H93" s="8"/>
      <c r="I93" s="8"/>
      <c r="J93" s="8"/>
      <c r="K93" s="8"/>
      <c r="L93" s="8"/>
      <c r="M93" s="8">
        <v>706142.54</v>
      </c>
      <c r="N93" s="46"/>
      <c r="O93" s="37"/>
      <c r="P93" s="8"/>
      <c r="Q93" s="8">
        <v>389457.99</v>
      </c>
      <c r="R93" s="46">
        <v>694100</v>
      </c>
      <c r="S93" s="46">
        <v>739230</v>
      </c>
      <c r="T93" s="37"/>
      <c r="U93" s="8"/>
      <c r="V93" s="46">
        <v>695200</v>
      </c>
      <c r="W93" s="46">
        <v>696900</v>
      </c>
      <c r="X93" s="96"/>
      <c r="Y93" s="46"/>
      <c r="Z93" s="46"/>
      <c r="AA93" s="46"/>
      <c r="AB93" s="46"/>
      <c r="AC93" s="46"/>
      <c r="AD93" s="46">
        <v>809000</v>
      </c>
      <c r="AE93" s="46">
        <v>827600</v>
      </c>
      <c r="AF93" s="46">
        <v>866850</v>
      </c>
      <c r="AG93" s="46">
        <v>831890</v>
      </c>
      <c r="AH93" s="46"/>
      <c r="AI93" s="46">
        <v>831600</v>
      </c>
      <c r="AJ93" s="12">
        <f>AF93/AE93*1-1</f>
        <v>4.7426292895118349E-2</v>
      </c>
      <c r="AK93" s="69">
        <f>AF93-AE93</f>
        <v>39250</v>
      </c>
      <c r="AL93" s="46"/>
      <c r="AM93" s="46"/>
      <c r="AN93" s="46"/>
      <c r="AO93" s="46"/>
      <c r="AP93" s="46"/>
      <c r="AQ93" s="46"/>
      <c r="AR93" s="46"/>
    </row>
    <row r="94" spans="1:44" hidden="1" x14ac:dyDescent="0.35">
      <c r="A94" s="9" t="s">
        <v>146</v>
      </c>
      <c r="B94" s="9"/>
      <c r="C94" s="9"/>
      <c r="D94" s="9"/>
      <c r="E94" s="9"/>
      <c r="F94" s="9"/>
      <c r="G94" s="10" t="s">
        <v>34</v>
      </c>
      <c r="H94" s="9">
        <v>290</v>
      </c>
      <c r="I94" s="9"/>
      <c r="J94" s="9"/>
      <c r="K94" s="9"/>
      <c r="L94" s="9">
        <v>2000</v>
      </c>
      <c r="M94" s="9">
        <f>SUM(M95:M99)</f>
        <v>1625</v>
      </c>
      <c r="N94" s="9">
        <v>1000</v>
      </c>
      <c r="O94" s="11">
        <f>N94/L94*1-1</f>
        <v>-0.5</v>
      </c>
      <c r="P94" s="9">
        <f>N94-L94</f>
        <v>-1000</v>
      </c>
      <c r="Q94" s="9">
        <f>SUM(Q95:Q99)</f>
        <v>50124.2</v>
      </c>
      <c r="R94" s="9">
        <f t="shared" ref="R94:W94" si="29">SUM(R95:R99)</f>
        <v>94950</v>
      </c>
      <c r="S94" s="9">
        <v>95000</v>
      </c>
      <c r="T94" s="11">
        <f>S94/N94*1-1</f>
        <v>94</v>
      </c>
      <c r="U94" s="9">
        <f>S94-N94</f>
        <v>94000</v>
      </c>
      <c r="V94" s="9">
        <f t="shared" si="29"/>
        <v>168000</v>
      </c>
      <c r="W94" s="9">
        <f t="shared" si="29"/>
        <v>61000</v>
      </c>
      <c r="X94" s="96"/>
      <c r="Y94" s="9">
        <v>95000</v>
      </c>
      <c r="Z94" s="9"/>
      <c r="AA94" s="9"/>
      <c r="AB94" s="9"/>
      <c r="AC94" s="9"/>
      <c r="AD94" s="9">
        <f>SUM(AD95:AD99)</f>
        <v>80000</v>
      </c>
      <c r="AE94" s="9">
        <f>SUM(AE95:AE99)</f>
        <v>80000</v>
      </c>
      <c r="AF94" s="9">
        <f>SUM(AF95:AF99)</f>
        <v>61000</v>
      </c>
      <c r="AG94" s="9">
        <f>SUM(AG95:AG99)</f>
        <v>60000</v>
      </c>
      <c r="AH94" s="9"/>
      <c r="AI94" s="9">
        <f>SUM(AI95:AI99)</f>
        <v>60000</v>
      </c>
      <c r="AJ94" s="20">
        <f>AF94/AE94*1-1</f>
        <v>-0.23750000000000004</v>
      </c>
      <c r="AK94" s="68">
        <f>AF94-AE94</f>
        <v>-19000</v>
      </c>
      <c r="AL94" s="9">
        <f>SUM(AL96:AL99)</f>
        <v>0</v>
      </c>
      <c r="AM94" s="9">
        <f t="shared" ref="AM94:AN94" si="30">SUM(AM96:AM99)</f>
        <v>0</v>
      </c>
      <c r="AN94" s="9">
        <f t="shared" si="30"/>
        <v>60000</v>
      </c>
      <c r="AO94" s="9"/>
      <c r="AP94" s="9"/>
      <c r="AQ94" s="9"/>
      <c r="AR94" s="9"/>
    </row>
    <row r="95" spans="1:44" hidden="1" x14ac:dyDescent="0.35">
      <c r="A95" s="8"/>
      <c r="B95" s="8"/>
      <c r="C95" s="8"/>
      <c r="D95" s="8"/>
      <c r="E95" s="8"/>
      <c r="F95" s="8"/>
      <c r="G95" s="29" t="s">
        <v>58</v>
      </c>
      <c r="H95" s="8"/>
      <c r="I95" s="8"/>
      <c r="J95" s="8"/>
      <c r="K95" s="8"/>
      <c r="L95" s="8"/>
      <c r="M95" s="8"/>
      <c r="N95" s="8"/>
      <c r="O95" s="37"/>
      <c r="P95" s="8"/>
      <c r="Q95" s="8"/>
      <c r="R95" s="8"/>
      <c r="S95" s="8"/>
      <c r="T95" s="37"/>
      <c r="U95" s="8"/>
      <c r="V95" s="8"/>
      <c r="W95" s="8"/>
      <c r="X95" s="96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37"/>
      <c r="AK95" s="8"/>
      <c r="AL95" s="8"/>
      <c r="AM95" s="8"/>
      <c r="AN95" s="8"/>
      <c r="AO95" s="8"/>
      <c r="AP95" s="8"/>
      <c r="AQ95" s="8"/>
      <c r="AR95" s="8"/>
    </row>
    <row r="96" spans="1:44" ht="24.5" hidden="1" x14ac:dyDescent="0.35">
      <c r="A96" s="8"/>
      <c r="B96" s="8"/>
      <c r="C96" s="8"/>
      <c r="D96" s="8"/>
      <c r="E96" s="8"/>
      <c r="F96" s="8"/>
      <c r="G96" s="28" t="s">
        <v>80</v>
      </c>
      <c r="H96" s="8"/>
      <c r="I96" s="8"/>
      <c r="J96" s="8"/>
      <c r="K96" s="8"/>
      <c r="L96" s="8"/>
      <c r="M96" s="8"/>
      <c r="N96" s="8"/>
      <c r="O96" s="37"/>
      <c r="P96" s="8"/>
      <c r="Q96" s="8">
        <v>50103</v>
      </c>
      <c r="R96" s="8">
        <v>50000</v>
      </c>
      <c r="S96" s="8"/>
      <c r="T96" s="37"/>
      <c r="U96" s="8"/>
      <c r="V96" s="8">
        <v>30000</v>
      </c>
      <c r="W96" s="8">
        <v>10000</v>
      </c>
      <c r="X96" s="96"/>
      <c r="Y96" s="8"/>
      <c r="Z96" s="8"/>
      <c r="AA96" s="8"/>
      <c r="AB96" s="8"/>
      <c r="AC96" s="8"/>
      <c r="AD96" s="8">
        <v>80000</v>
      </c>
      <c r="AE96" s="8">
        <v>80000</v>
      </c>
      <c r="AF96" s="8">
        <v>61000</v>
      </c>
      <c r="AG96" s="8">
        <v>60000</v>
      </c>
      <c r="AH96" s="8"/>
      <c r="AI96" s="8">
        <v>60000</v>
      </c>
      <c r="AJ96" s="12">
        <f>AF96/AE96*1-1</f>
        <v>-0.23750000000000004</v>
      </c>
      <c r="AK96" s="69">
        <f>AF96-AE96</f>
        <v>-19000</v>
      </c>
      <c r="AL96" s="8"/>
      <c r="AM96" s="8"/>
      <c r="AN96" s="8">
        <f>AI96</f>
        <v>60000</v>
      </c>
      <c r="AO96" s="8"/>
      <c r="AP96" s="8"/>
      <c r="AQ96" s="8"/>
      <c r="AR96" s="8"/>
    </row>
    <row r="97" spans="1:44" hidden="1" x14ac:dyDescent="0.35">
      <c r="A97" s="8"/>
      <c r="B97" s="8"/>
      <c r="C97" s="8"/>
      <c r="D97" s="8"/>
      <c r="E97" s="8"/>
      <c r="F97" s="8"/>
      <c r="G97" s="29" t="s">
        <v>81</v>
      </c>
      <c r="H97" s="8"/>
      <c r="I97" s="8"/>
      <c r="J97" s="8"/>
      <c r="K97" s="8"/>
      <c r="L97" s="8"/>
      <c r="M97" s="8"/>
      <c r="N97" s="8"/>
      <c r="O97" s="37"/>
      <c r="P97" s="8"/>
      <c r="Q97" s="8"/>
      <c r="R97" s="8">
        <v>43300</v>
      </c>
      <c r="S97" s="8"/>
      <c r="T97" s="37"/>
      <c r="U97" s="8"/>
      <c r="V97" s="8">
        <v>135000</v>
      </c>
      <c r="W97" s="8">
        <v>50000</v>
      </c>
      <c r="X97" s="96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37"/>
      <c r="AK97" s="8"/>
      <c r="AL97" s="8"/>
      <c r="AM97" s="8"/>
      <c r="AN97" s="8"/>
      <c r="AO97" s="8"/>
      <c r="AP97" s="8"/>
      <c r="AQ97" s="8"/>
      <c r="AR97" s="8"/>
    </row>
    <row r="98" spans="1:44" hidden="1" x14ac:dyDescent="0.35">
      <c r="A98" s="8"/>
      <c r="B98" s="8"/>
      <c r="C98" s="8"/>
      <c r="D98" s="8"/>
      <c r="E98" s="8"/>
      <c r="F98" s="8"/>
      <c r="G98" s="29" t="s">
        <v>73</v>
      </c>
      <c r="H98" s="8"/>
      <c r="I98" s="8"/>
      <c r="J98" s="8"/>
      <c r="K98" s="8"/>
      <c r="L98" s="8"/>
      <c r="M98" s="8"/>
      <c r="N98" s="8"/>
      <c r="O98" s="37"/>
      <c r="P98" s="8"/>
      <c r="Q98" s="8">
        <v>21.2</v>
      </c>
      <c r="R98" s="8"/>
      <c r="S98" s="8"/>
      <c r="T98" s="37"/>
      <c r="U98" s="8"/>
      <c r="V98" s="8"/>
      <c r="W98" s="8"/>
      <c r="X98" s="96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37"/>
      <c r="AK98" s="8"/>
      <c r="AL98" s="8"/>
      <c r="AM98" s="8"/>
      <c r="AN98" s="8"/>
      <c r="AO98" s="8"/>
      <c r="AP98" s="8"/>
      <c r="AQ98" s="8"/>
      <c r="AR98" s="8"/>
    </row>
    <row r="99" spans="1:44" hidden="1" x14ac:dyDescent="0.35">
      <c r="A99" s="8"/>
      <c r="B99" s="8"/>
      <c r="C99" s="8"/>
      <c r="D99" s="8"/>
      <c r="E99" s="8"/>
      <c r="F99" s="8"/>
      <c r="G99" s="29" t="s">
        <v>68</v>
      </c>
      <c r="H99" s="8"/>
      <c r="I99" s="8"/>
      <c r="J99" s="8"/>
      <c r="K99" s="8"/>
      <c r="L99" s="8"/>
      <c r="M99" s="8">
        <v>1625</v>
      </c>
      <c r="N99" s="8"/>
      <c r="O99" s="37"/>
      <c r="P99" s="8"/>
      <c r="Q99" s="8"/>
      <c r="R99" s="8">
        <v>1650</v>
      </c>
      <c r="S99" s="8"/>
      <c r="T99" s="37"/>
      <c r="U99" s="8"/>
      <c r="V99" s="8">
        <v>3000</v>
      </c>
      <c r="W99" s="8">
        <v>1000</v>
      </c>
      <c r="X99" s="96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37"/>
      <c r="AK99" s="8"/>
      <c r="AL99" s="8"/>
      <c r="AM99" s="8"/>
      <c r="AN99" s="8"/>
      <c r="AO99" s="8"/>
      <c r="AP99" s="8"/>
      <c r="AQ99" s="8"/>
      <c r="AR99" s="8"/>
    </row>
    <row r="100" spans="1:44" hidden="1" x14ac:dyDescent="0.35">
      <c r="A100" s="9" t="s">
        <v>147</v>
      </c>
      <c r="B100" s="9"/>
      <c r="C100" s="9"/>
      <c r="D100" s="9"/>
      <c r="E100" s="9"/>
      <c r="F100" s="9"/>
      <c r="G100" s="10" t="s">
        <v>14</v>
      </c>
      <c r="H100" s="9">
        <v>49235</v>
      </c>
      <c r="I100" s="9"/>
      <c r="J100" s="9">
        <v>44022</v>
      </c>
      <c r="K100" s="9"/>
      <c r="L100" s="9">
        <v>41130</v>
      </c>
      <c r="M100" s="9">
        <f>SUM(M101:M105)</f>
        <v>48532.97</v>
      </c>
      <c r="N100" s="15">
        <v>41000</v>
      </c>
      <c r="O100" s="11">
        <f>N100/L100*1-1</f>
        <v>-3.1607099440797981E-3</v>
      </c>
      <c r="P100" s="9">
        <f>N100-L100</f>
        <v>-130</v>
      </c>
      <c r="Q100" s="9">
        <f>SUM(Q101:Q105)</f>
        <v>37207.259999999995</v>
      </c>
      <c r="R100" s="9">
        <f t="shared" ref="R100:W100" si="31">SUM(R101:R105)</f>
        <v>39800</v>
      </c>
      <c r="S100" s="15">
        <v>40000</v>
      </c>
      <c r="T100" s="11">
        <f>S100/N100*1-1</f>
        <v>-2.4390243902439046E-2</v>
      </c>
      <c r="U100" s="9">
        <f>S100-N100</f>
        <v>-1000</v>
      </c>
      <c r="V100" s="9">
        <f t="shared" si="31"/>
        <v>39300</v>
      </c>
      <c r="W100" s="9">
        <f t="shared" si="31"/>
        <v>39100</v>
      </c>
      <c r="X100" s="96"/>
      <c r="Y100" s="15"/>
      <c r="Z100" s="15"/>
      <c r="AA100" s="15">
        <v>40000</v>
      </c>
      <c r="AB100" s="15"/>
      <c r="AC100" s="15"/>
      <c r="AD100" s="9">
        <f>SUM(AD101:AD105)</f>
        <v>39000</v>
      </c>
      <c r="AE100" s="9">
        <f>SUM(AE101:AE105)</f>
        <v>39000</v>
      </c>
      <c r="AF100" s="9">
        <f>SUM(AF101:AF105)</f>
        <v>37000</v>
      </c>
      <c r="AG100" s="9">
        <f>SUM(AG101:AG105)</f>
        <v>37000</v>
      </c>
      <c r="AH100" s="9"/>
      <c r="AI100" s="9">
        <f>SUM(AI101:AI105)</f>
        <v>37000</v>
      </c>
      <c r="AJ100" s="20">
        <f>AF100/AE100*1-1</f>
        <v>-5.1282051282051322E-2</v>
      </c>
      <c r="AK100" s="68">
        <f>AF100-AE100</f>
        <v>-2000</v>
      </c>
      <c r="AL100" s="15"/>
      <c r="AM100" s="15"/>
      <c r="AN100" s="15"/>
      <c r="AO100" s="15"/>
      <c r="AP100" s="15">
        <f>SUM(AI100)</f>
        <v>37000</v>
      </c>
      <c r="AQ100" s="15"/>
      <c r="AR100" s="15"/>
    </row>
    <row r="101" spans="1:44" hidden="1" x14ac:dyDescent="0.35">
      <c r="A101" s="9" t="s">
        <v>146</v>
      </c>
      <c r="B101" s="8"/>
      <c r="C101" s="8"/>
      <c r="D101" s="8"/>
      <c r="E101" s="8"/>
      <c r="F101" s="8"/>
      <c r="G101" s="29" t="s">
        <v>58</v>
      </c>
      <c r="H101" s="8"/>
      <c r="I101" s="8"/>
      <c r="J101" s="8"/>
      <c r="K101" s="8"/>
      <c r="L101" s="8"/>
      <c r="M101" s="8"/>
      <c r="N101" s="46"/>
      <c r="O101" s="37"/>
      <c r="P101" s="8"/>
      <c r="Q101" s="8"/>
      <c r="R101" s="46"/>
      <c r="S101" s="46"/>
      <c r="T101" s="37"/>
      <c r="U101" s="8"/>
      <c r="V101" s="46"/>
      <c r="W101" s="46"/>
      <c r="X101" s="9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37"/>
      <c r="AK101" s="8"/>
      <c r="AL101" s="46"/>
      <c r="AM101" s="46"/>
      <c r="AN101" s="46"/>
      <c r="AO101" s="46"/>
      <c r="AP101" s="46"/>
      <c r="AQ101" s="46"/>
      <c r="AR101" s="46"/>
    </row>
    <row r="102" spans="1:44" hidden="1" x14ac:dyDescent="0.35">
      <c r="A102" s="9" t="s">
        <v>146</v>
      </c>
      <c r="B102" s="8"/>
      <c r="C102" s="8"/>
      <c r="D102" s="8"/>
      <c r="E102" s="8"/>
      <c r="F102" s="8"/>
      <c r="G102" s="29" t="s">
        <v>59</v>
      </c>
      <c r="H102" s="8"/>
      <c r="I102" s="8"/>
      <c r="J102" s="8"/>
      <c r="K102" s="8">
        <v>27861.45</v>
      </c>
      <c r="L102" s="8"/>
      <c r="M102" s="8">
        <v>26587.84</v>
      </c>
      <c r="N102" s="46"/>
      <c r="O102" s="37"/>
      <c r="P102" s="8"/>
      <c r="Q102" s="8">
        <v>24732.26</v>
      </c>
      <c r="R102" s="46">
        <v>26000</v>
      </c>
      <c r="S102" s="46"/>
      <c r="T102" s="37"/>
      <c r="U102" s="8"/>
      <c r="V102" s="46">
        <v>26000</v>
      </c>
      <c r="W102" s="46">
        <v>26000</v>
      </c>
      <c r="X102" s="96"/>
      <c r="Y102" s="46"/>
      <c r="Z102" s="46"/>
      <c r="AA102" s="46"/>
      <c r="AB102" s="46"/>
      <c r="AC102" s="46"/>
      <c r="AD102" s="46">
        <v>26000</v>
      </c>
      <c r="AE102" s="46">
        <v>26000</v>
      </c>
      <c r="AF102" s="46">
        <v>22000</v>
      </c>
      <c r="AG102" s="46">
        <v>22000</v>
      </c>
      <c r="AH102" s="46"/>
      <c r="AI102" s="46">
        <v>22000</v>
      </c>
      <c r="AJ102" s="37"/>
      <c r="AK102" s="8"/>
      <c r="AL102" s="46"/>
      <c r="AM102" s="46"/>
      <c r="AN102" s="46"/>
      <c r="AO102" s="46"/>
      <c r="AP102" s="46"/>
      <c r="AQ102" s="46"/>
      <c r="AR102" s="46"/>
    </row>
    <row r="103" spans="1:44" hidden="1" x14ac:dyDescent="0.35">
      <c r="A103" s="9" t="s">
        <v>146</v>
      </c>
      <c r="B103" s="8"/>
      <c r="C103" s="8"/>
      <c r="D103" s="8"/>
      <c r="E103" s="8"/>
      <c r="F103" s="8"/>
      <c r="G103" s="29" t="s">
        <v>67</v>
      </c>
      <c r="H103" s="8"/>
      <c r="I103" s="8"/>
      <c r="J103" s="8"/>
      <c r="K103" s="8"/>
      <c r="L103" s="8"/>
      <c r="M103" s="8">
        <v>16726.38</v>
      </c>
      <c r="N103" s="46"/>
      <c r="O103" s="37"/>
      <c r="P103" s="8"/>
      <c r="Q103" s="8">
        <v>5732.71</v>
      </c>
      <c r="R103" s="46">
        <v>12000</v>
      </c>
      <c r="S103" s="46"/>
      <c r="T103" s="37"/>
      <c r="U103" s="8"/>
      <c r="V103" s="46">
        <v>12000</v>
      </c>
      <c r="W103" s="46">
        <v>12000</v>
      </c>
      <c r="X103" s="96"/>
      <c r="Y103" s="46"/>
      <c r="Z103" s="46"/>
      <c r="AA103" s="46"/>
      <c r="AB103" s="46"/>
      <c r="AC103" s="46"/>
      <c r="AD103" s="46">
        <v>12200</v>
      </c>
      <c r="AE103" s="46">
        <v>12200</v>
      </c>
      <c r="AF103" s="46">
        <v>14200</v>
      </c>
      <c r="AG103" s="46">
        <v>14200</v>
      </c>
      <c r="AH103" s="46"/>
      <c r="AI103" s="46">
        <v>14200</v>
      </c>
      <c r="AJ103" s="37"/>
      <c r="AK103" s="8"/>
      <c r="AL103" s="46"/>
      <c r="AM103" s="46"/>
      <c r="AN103" s="46"/>
      <c r="AO103" s="46"/>
      <c r="AP103" s="46"/>
      <c r="AQ103" s="46"/>
      <c r="AR103" s="46"/>
    </row>
    <row r="104" spans="1:44" hidden="1" x14ac:dyDescent="0.35">
      <c r="A104" s="9" t="s">
        <v>146</v>
      </c>
      <c r="B104" s="8"/>
      <c r="C104" s="8"/>
      <c r="D104" s="8"/>
      <c r="E104" s="8"/>
      <c r="F104" s="8"/>
      <c r="G104" s="29" t="s">
        <v>60</v>
      </c>
      <c r="H104" s="8"/>
      <c r="I104" s="8"/>
      <c r="J104" s="8"/>
      <c r="K104" s="8"/>
      <c r="L104" s="8"/>
      <c r="M104" s="8">
        <v>862.75</v>
      </c>
      <c r="N104" s="46"/>
      <c r="O104" s="37"/>
      <c r="P104" s="8"/>
      <c r="Q104" s="8">
        <v>874.29</v>
      </c>
      <c r="R104" s="46">
        <v>800</v>
      </c>
      <c r="S104" s="46"/>
      <c r="T104" s="37"/>
      <c r="U104" s="8"/>
      <c r="V104" s="46">
        <v>800</v>
      </c>
      <c r="W104" s="46">
        <v>800</v>
      </c>
      <c r="X104" s="96"/>
      <c r="Y104" s="46"/>
      <c r="Z104" s="46"/>
      <c r="AA104" s="46"/>
      <c r="AB104" s="46"/>
      <c r="AC104" s="46"/>
      <c r="AD104" s="46">
        <v>800</v>
      </c>
      <c r="AE104" s="46">
        <v>800</v>
      </c>
      <c r="AF104" s="46">
        <v>800</v>
      </c>
      <c r="AG104" s="46">
        <v>800</v>
      </c>
      <c r="AH104" s="46"/>
      <c r="AI104" s="46">
        <v>800</v>
      </c>
      <c r="AJ104" s="37"/>
      <c r="AK104" s="8"/>
      <c r="AL104" s="46"/>
      <c r="AM104" s="46"/>
      <c r="AN104" s="46"/>
      <c r="AO104" s="46"/>
      <c r="AP104" s="46"/>
      <c r="AQ104" s="46"/>
      <c r="AR104" s="46"/>
    </row>
    <row r="105" spans="1:44" hidden="1" x14ac:dyDescent="0.35">
      <c r="A105" s="9" t="s">
        <v>146</v>
      </c>
      <c r="B105" s="8"/>
      <c r="C105" s="8"/>
      <c r="D105" s="8"/>
      <c r="E105" s="8"/>
      <c r="F105" s="8"/>
      <c r="G105" s="29" t="s">
        <v>61</v>
      </c>
      <c r="H105" s="8"/>
      <c r="I105" s="8"/>
      <c r="J105" s="8"/>
      <c r="K105" s="8"/>
      <c r="L105" s="8"/>
      <c r="M105" s="8">
        <v>4356</v>
      </c>
      <c r="N105" s="46"/>
      <c r="O105" s="37"/>
      <c r="P105" s="8"/>
      <c r="Q105" s="8">
        <v>5868</v>
      </c>
      <c r="R105" s="46">
        <v>1000</v>
      </c>
      <c r="S105" s="46"/>
      <c r="T105" s="37"/>
      <c r="U105" s="8"/>
      <c r="V105" s="46">
        <v>500</v>
      </c>
      <c r="W105" s="46">
        <v>300</v>
      </c>
      <c r="X105" s="9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37"/>
      <c r="AK105" s="8"/>
      <c r="AL105" s="46"/>
      <c r="AM105" s="46"/>
      <c r="AN105" s="46"/>
      <c r="AO105" s="46"/>
      <c r="AP105" s="46"/>
      <c r="AQ105" s="46"/>
      <c r="AR105" s="46"/>
    </row>
    <row r="106" spans="1:44" hidden="1" x14ac:dyDescent="0.35">
      <c r="A106" s="9" t="s">
        <v>148</v>
      </c>
      <c r="B106" s="9"/>
      <c r="C106" s="9"/>
      <c r="D106" s="9"/>
      <c r="E106" s="9"/>
      <c r="F106" s="9"/>
      <c r="G106" s="10" t="s">
        <v>16</v>
      </c>
      <c r="H106" s="9">
        <v>2896</v>
      </c>
      <c r="I106" s="9"/>
      <c r="J106" s="9">
        <v>6082</v>
      </c>
      <c r="K106" s="9">
        <v>12314.08</v>
      </c>
      <c r="L106" s="9">
        <v>5000</v>
      </c>
      <c r="M106" s="9">
        <f>SUM(M108:M114)</f>
        <v>8991.4</v>
      </c>
      <c r="N106" s="9">
        <v>5000</v>
      </c>
      <c r="O106" s="11">
        <f>N106/L106*1-1</f>
        <v>0</v>
      </c>
      <c r="P106" s="9">
        <f>N106-L106</f>
        <v>0</v>
      </c>
      <c r="Q106" s="9">
        <f>SUM(Q108:Q114)</f>
        <v>5342.19</v>
      </c>
      <c r="R106" s="9">
        <f t="shared" ref="R106:W106" si="32">SUM(R108:R114)</f>
        <v>877900</v>
      </c>
      <c r="S106" s="9">
        <v>532500</v>
      </c>
      <c r="T106" s="11">
        <f>S106/N106*1-1</f>
        <v>105.5</v>
      </c>
      <c r="U106" s="9">
        <f>S106-N106</f>
        <v>527500</v>
      </c>
      <c r="V106" s="9">
        <f t="shared" si="32"/>
        <v>1005700</v>
      </c>
      <c r="W106" s="9">
        <f t="shared" si="32"/>
        <v>1105600</v>
      </c>
      <c r="X106" s="95">
        <v>608000</v>
      </c>
      <c r="Y106" s="9">
        <v>532500</v>
      </c>
      <c r="Z106" s="9"/>
      <c r="AA106" s="9"/>
      <c r="AB106" s="9"/>
      <c r="AC106" s="9"/>
      <c r="AD106" s="9">
        <f>SUM(AD108:AD114)</f>
        <v>497690</v>
      </c>
      <c r="AE106" s="9">
        <f>SUM(AE108:AE114)</f>
        <v>557690</v>
      </c>
      <c r="AF106" s="9">
        <f>SUM(AF108:AF114)</f>
        <v>631700</v>
      </c>
      <c r="AG106" s="9">
        <f>SUM(AG108:AG114)</f>
        <v>653000</v>
      </c>
      <c r="AH106" s="9"/>
      <c r="AI106" s="9">
        <f>SUM(AI108:AI114)</f>
        <v>654000</v>
      </c>
      <c r="AJ106" s="20">
        <f>AF106/AE106*1-1</f>
        <v>0.13270813534400827</v>
      </c>
      <c r="AK106" s="68">
        <f>AF106-AE106</f>
        <v>74010</v>
      </c>
      <c r="AL106" s="9">
        <f>SUM(AI106)</f>
        <v>654000</v>
      </c>
      <c r="AM106" s="9"/>
      <c r="AN106" s="9"/>
      <c r="AO106" s="9"/>
      <c r="AP106" s="9"/>
      <c r="AQ106" s="9"/>
      <c r="AR106" s="9"/>
    </row>
    <row r="107" spans="1:44" hidden="1" x14ac:dyDescent="0.35">
      <c r="A107" s="8"/>
      <c r="B107" s="8"/>
      <c r="C107" s="8"/>
      <c r="D107" s="8"/>
      <c r="E107" s="8"/>
      <c r="F107" s="8"/>
      <c r="G107" s="29" t="s">
        <v>58</v>
      </c>
      <c r="H107" s="8"/>
      <c r="I107" s="8"/>
      <c r="J107" s="8"/>
      <c r="K107" s="8"/>
      <c r="L107" s="8"/>
      <c r="M107" s="8"/>
      <c r="N107" s="8"/>
      <c r="O107" s="37"/>
      <c r="P107" s="8"/>
      <c r="Q107" s="8"/>
      <c r="R107" s="8"/>
      <c r="S107" s="8"/>
      <c r="T107" s="37"/>
      <c r="U107" s="8"/>
      <c r="V107" s="8"/>
      <c r="W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37"/>
      <c r="AK107" s="8"/>
      <c r="AL107" s="8"/>
      <c r="AM107" s="8"/>
      <c r="AN107" s="8"/>
      <c r="AO107" s="8"/>
      <c r="AP107" s="8"/>
      <c r="AQ107" s="8"/>
      <c r="AR107" s="8"/>
    </row>
    <row r="108" spans="1:44" hidden="1" x14ac:dyDescent="0.35">
      <c r="A108" s="8"/>
      <c r="B108" s="8"/>
      <c r="C108" s="8"/>
      <c r="D108" s="8"/>
      <c r="E108" s="8"/>
      <c r="F108" s="8"/>
      <c r="G108" s="29" t="s">
        <v>54</v>
      </c>
      <c r="H108" s="8"/>
      <c r="I108" s="8"/>
      <c r="J108" s="8"/>
      <c r="K108" s="8"/>
      <c r="L108" s="8"/>
      <c r="M108" s="8"/>
      <c r="N108" s="8"/>
      <c r="O108" s="37"/>
      <c r="P108" s="8"/>
      <c r="Q108" s="8"/>
      <c r="R108" s="8">
        <v>100</v>
      </c>
      <c r="S108" s="8"/>
      <c r="T108" s="37"/>
      <c r="U108" s="8"/>
      <c r="V108" s="8">
        <v>100</v>
      </c>
      <c r="W108" s="8">
        <v>100</v>
      </c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37"/>
      <c r="AK108" s="8"/>
      <c r="AL108" s="8"/>
      <c r="AM108" s="8"/>
      <c r="AN108" s="8"/>
      <c r="AO108" s="8"/>
      <c r="AP108" s="8"/>
      <c r="AQ108" s="8"/>
      <c r="AR108" s="8"/>
    </row>
    <row r="109" spans="1:44" hidden="1" x14ac:dyDescent="0.35">
      <c r="A109" s="8"/>
      <c r="B109" s="8"/>
      <c r="C109" s="8"/>
      <c r="D109" s="8"/>
      <c r="E109" s="8"/>
      <c r="F109" s="8"/>
      <c r="G109" s="29" t="s">
        <v>66</v>
      </c>
      <c r="H109" s="8"/>
      <c r="I109" s="8"/>
      <c r="J109" s="8"/>
      <c r="K109" s="8"/>
      <c r="L109" s="8"/>
      <c r="M109" s="8">
        <v>266</v>
      </c>
      <c r="N109" s="8"/>
      <c r="O109" s="37"/>
      <c r="P109" s="8"/>
      <c r="Q109" s="8">
        <v>294</v>
      </c>
      <c r="R109" s="8"/>
      <c r="S109" s="8"/>
      <c r="T109" s="37"/>
      <c r="U109" s="8"/>
      <c r="V109" s="8"/>
      <c r="W109" s="8"/>
      <c r="Y109" s="8"/>
      <c r="Z109" s="8"/>
      <c r="AA109" s="8"/>
      <c r="AB109" s="8"/>
      <c r="AC109" s="8"/>
      <c r="AD109" s="8">
        <v>700</v>
      </c>
      <c r="AE109" s="8">
        <v>700</v>
      </c>
      <c r="AF109" s="8">
        <v>700</v>
      </c>
      <c r="AG109" s="8">
        <v>700</v>
      </c>
      <c r="AH109" s="8"/>
      <c r="AI109" s="8">
        <v>700</v>
      </c>
      <c r="AJ109" s="37"/>
      <c r="AK109" s="8"/>
      <c r="AL109" s="8"/>
      <c r="AM109" s="8"/>
      <c r="AN109" s="8"/>
      <c r="AO109" s="8"/>
      <c r="AP109" s="8"/>
      <c r="AQ109" s="8"/>
      <c r="AR109" s="8"/>
    </row>
    <row r="110" spans="1:44" hidden="1" x14ac:dyDescent="0.35">
      <c r="A110" s="8"/>
      <c r="B110" s="8"/>
      <c r="C110" s="8"/>
      <c r="D110" s="8"/>
      <c r="E110" s="8"/>
      <c r="F110" s="8"/>
      <c r="G110" s="29" t="s">
        <v>63</v>
      </c>
      <c r="H110" s="8"/>
      <c r="I110" s="8"/>
      <c r="J110" s="8"/>
      <c r="K110" s="8"/>
      <c r="L110" s="8"/>
      <c r="M110" s="8">
        <v>3038.7</v>
      </c>
      <c r="N110" s="8"/>
      <c r="O110" s="37"/>
      <c r="P110" s="8"/>
      <c r="Q110" s="8">
        <v>2506.79</v>
      </c>
      <c r="R110" s="8">
        <v>3000</v>
      </c>
      <c r="S110" s="8"/>
      <c r="T110" s="37"/>
      <c r="U110" s="8"/>
      <c r="V110" s="8">
        <v>3000</v>
      </c>
      <c r="W110" s="8">
        <v>3000</v>
      </c>
      <c r="Y110" s="8"/>
      <c r="Z110" s="8"/>
      <c r="AA110" s="8"/>
      <c r="AB110" s="8"/>
      <c r="AC110" s="8"/>
      <c r="AD110" s="8">
        <v>2840</v>
      </c>
      <c r="AE110" s="8">
        <v>2840</v>
      </c>
      <c r="AF110" s="8">
        <v>2840</v>
      </c>
      <c r="AG110" s="8">
        <v>3200</v>
      </c>
      <c r="AH110" s="8"/>
      <c r="AI110" s="8">
        <v>3200</v>
      </c>
      <c r="AJ110" s="37"/>
      <c r="AK110" s="8"/>
      <c r="AL110" s="8"/>
      <c r="AM110" s="8"/>
      <c r="AN110" s="8"/>
      <c r="AO110" s="8"/>
      <c r="AP110" s="8"/>
      <c r="AQ110" s="8"/>
      <c r="AR110" s="8"/>
    </row>
    <row r="111" spans="1:44" hidden="1" x14ac:dyDescent="0.35">
      <c r="A111" s="8"/>
      <c r="B111" s="8"/>
      <c r="C111" s="8"/>
      <c r="D111" s="8"/>
      <c r="E111" s="8"/>
      <c r="F111" s="8"/>
      <c r="G111" s="29" t="s">
        <v>64</v>
      </c>
      <c r="H111" s="8"/>
      <c r="I111" s="8"/>
      <c r="J111" s="8"/>
      <c r="K111" s="8"/>
      <c r="L111" s="8"/>
      <c r="M111" s="8">
        <v>4021</v>
      </c>
      <c r="N111" s="8"/>
      <c r="O111" s="37"/>
      <c r="P111" s="8"/>
      <c r="Q111" s="8">
        <v>1574</v>
      </c>
      <c r="R111" s="8">
        <v>4000</v>
      </c>
      <c r="S111" s="8"/>
      <c r="T111" s="37"/>
      <c r="U111" s="8"/>
      <c r="V111" s="8">
        <v>2000</v>
      </c>
      <c r="W111" s="8">
        <v>2000</v>
      </c>
      <c r="Y111" s="8"/>
      <c r="Z111" s="8"/>
      <c r="AA111" s="8"/>
      <c r="AB111" s="8"/>
      <c r="AC111" s="8"/>
      <c r="AD111" s="8">
        <v>2000</v>
      </c>
      <c r="AE111" s="8">
        <v>2000</v>
      </c>
      <c r="AF111" s="8">
        <v>3000</v>
      </c>
      <c r="AG111" s="8">
        <v>4000</v>
      </c>
      <c r="AH111" s="8"/>
      <c r="AI111" s="8">
        <v>5000</v>
      </c>
      <c r="AJ111" s="37"/>
      <c r="AK111" s="8"/>
      <c r="AL111" s="8"/>
      <c r="AM111" s="8"/>
      <c r="AN111" s="8"/>
      <c r="AO111" s="8"/>
      <c r="AP111" s="8"/>
      <c r="AQ111" s="8"/>
      <c r="AR111" s="8"/>
    </row>
    <row r="112" spans="1:44" hidden="1" x14ac:dyDescent="0.35">
      <c r="A112" s="8"/>
      <c r="B112" s="8"/>
      <c r="C112" s="8"/>
      <c r="D112" s="8"/>
      <c r="E112" s="8"/>
      <c r="F112" s="8"/>
      <c r="G112" s="8" t="s">
        <v>65</v>
      </c>
      <c r="H112" s="8"/>
      <c r="I112" s="8"/>
      <c r="J112" s="8"/>
      <c r="K112" s="8"/>
      <c r="L112" s="8"/>
      <c r="M112" s="8">
        <v>1665.7</v>
      </c>
      <c r="N112" s="8"/>
      <c r="O112" s="37"/>
      <c r="P112" s="8"/>
      <c r="Q112" s="8">
        <v>967.4</v>
      </c>
      <c r="R112" s="8">
        <v>800</v>
      </c>
      <c r="S112" s="8"/>
      <c r="T112" s="37"/>
      <c r="U112" s="8"/>
      <c r="V112" s="8">
        <v>600</v>
      </c>
      <c r="W112" s="8">
        <v>500</v>
      </c>
      <c r="Y112" s="8"/>
      <c r="Z112" s="8"/>
      <c r="AA112" s="8"/>
      <c r="AB112" s="8"/>
      <c r="AC112" s="8"/>
      <c r="AD112" s="8">
        <v>2000</v>
      </c>
      <c r="AE112" s="8">
        <v>2000</v>
      </c>
      <c r="AF112" s="8">
        <v>2000</v>
      </c>
      <c r="AG112" s="8">
        <v>100</v>
      </c>
      <c r="AH112" s="8"/>
      <c r="AI112" s="8">
        <v>100</v>
      </c>
      <c r="AJ112" s="37"/>
      <c r="AK112" s="8"/>
      <c r="AL112" s="8"/>
      <c r="AM112" s="8"/>
      <c r="AN112" s="8"/>
      <c r="AO112" s="8"/>
      <c r="AP112" s="8"/>
      <c r="AQ112" s="8"/>
      <c r="AR112" s="8"/>
    </row>
    <row r="113" spans="1:44" hidden="1" x14ac:dyDescent="0.35">
      <c r="A113" s="8"/>
      <c r="B113" s="8"/>
      <c r="C113" s="8"/>
      <c r="D113" s="8"/>
      <c r="E113" s="8"/>
      <c r="F113" s="8"/>
      <c r="G113" s="8" t="s">
        <v>159</v>
      </c>
      <c r="H113" s="8"/>
      <c r="I113" s="8"/>
      <c r="J113" s="8"/>
      <c r="K113" s="8"/>
      <c r="L113" s="8"/>
      <c r="M113" s="8"/>
      <c r="N113" s="8"/>
      <c r="O113" s="37"/>
      <c r="P113" s="8"/>
      <c r="Q113" s="8"/>
      <c r="R113" s="8"/>
      <c r="S113" s="8"/>
      <c r="T113" s="37"/>
      <c r="U113" s="8"/>
      <c r="V113" s="8"/>
      <c r="W113" s="8"/>
      <c r="Y113" s="8"/>
      <c r="Z113" s="8"/>
      <c r="AA113" s="8"/>
      <c r="AB113" s="8"/>
      <c r="AC113" s="8"/>
      <c r="AD113" s="8">
        <v>150</v>
      </c>
      <c r="AE113" s="8">
        <v>150</v>
      </c>
      <c r="AF113" s="46">
        <v>160</v>
      </c>
      <c r="AG113" s="46"/>
      <c r="AH113" s="46"/>
      <c r="AI113" s="46"/>
      <c r="AJ113" s="37"/>
      <c r="AK113" s="8"/>
      <c r="AL113" s="8"/>
      <c r="AM113" s="8"/>
      <c r="AN113" s="8"/>
      <c r="AO113" s="8"/>
      <c r="AP113" s="8"/>
      <c r="AQ113" s="8"/>
      <c r="AR113" s="8"/>
    </row>
    <row r="114" spans="1:44" hidden="1" x14ac:dyDescent="0.35">
      <c r="A114" s="8"/>
      <c r="B114" s="8"/>
      <c r="C114" s="8"/>
      <c r="D114" s="8"/>
      <c r="E114" s="8"/>
      <c r="F114" s="8"/>
      <c r="G114" s="28" t="s">
        <v>79</v>
      </c>
      <c r="H114" s="8"/>
      <c r="I114" s="8"/>
      <c r="J114" s="8"/>
      <c r="K114" s="8"/>
      <c r="L114" s="8"/>
      <c r="M114" s="8"/>
      <c r="N114" s="8"/>
      <c r="O114" s="37"/>
      <c r="P114" s="8"/>
      <c r="Q114" s="8"/>
      <c r="R114" s="8">
        <v>870000</v>
      </c>
      <c r="S114" s="8"/>
      <c r="T114" s="37"/>
      <c r="U114" s="8"/>
      <c r="V114" s="8">
        <v>1000000</v>
      </c>
      <c r="W114" s="8">
        <v>1100000</v>
      </c>
      <c r="Y114" s="8"/>
      <c r="Z114" s="8"/>
      <c r="AA114" s="8"/>
      <c r="AB114" s="8"/>
      <c r="AC114" s="8"/>
      <c r="AD114" s="8">
        <v>490000</v>
      </c>
      <c r="AE114" s="8">
        <v>550000</v>
      </c>
      <c r="AF114" s="46">
        <v>623000</v>
      </c>
      <c r="AG114" s="46">
        <v>645000</v>
      </c>
      <c r="AH114" s="46"/>
      <c r="AI114" s="46">
        <v>645000</v>
      </c>
      <c r="AJ114" s="37"/>
      <c r="AK114" s="8"/>
      <c r="AL114" s="8"/>
      <c r="AM114" s="8"/>
      <c r="AN114" s="8"/>
      <c r="AO114" s="8"/>
      <c r="AP114" s="8"/>
      <c r="AQ114" s="8"/>
      <c r="AR114" s="8"/>
    </row>
    <row r="115" spans="1:44" ht="24.75" hidden="1" customHeight="1" x14ac:dyDescent="0.35">
      <c r="A115" s="5"/>
      <c r="B115" s="5"/>
      <c r="C115" s="5"/>
      <c r="D115" s="5"/>
      <c r="E115" s="5"/>
      <c r="F115" s="5"/>
      <c r="G115" s="6" t="s">
        <v>17</v>
      </c>
      <c r="H115" s="47" t="e">
        <f>SUM(H88:H106)</f>
        <v>#REF!</v>
      </c>
      <c r="I115" s="47"/>
      <c r="J115" s="47">
        <f>SUM(J70,J71,J74,J84,J88)</f>
        <v>16332545</v>
      </c>
      <c r="K115" s="47"/>
      <c r="L115" s="47">
        <f t="shared" ref="L115:AI115" si="33">SUM(L70,L71,L74,L84,L88)</f>
        <v>17934431</v>
      </c>
      <c r="M115" s="47">
        <f t="shared" si="33"/>
        <v>12245393.399999999</v>
      </c>
      <c r="N115" s="47">
        <f t="shared" si="33"/>
        <v>17434676</v>
      </c>
      <c r="O115" s="47">
        <f t="shared" si="33"/>
        <v>-2.3291949515900918</v>
      </c>
      <c r="P115" s="47">
        <f t="shared" si="33"/>
        <v>-543555</v>
      </c>
      <c r="Q115" s="47">
        <f t="shared" si="33"/>
        <v>660612.47</v>
      </c>
      <c r="R115" s="47">
        <f t="shared" si="33"/>
        <v>13486450</v>
      </c>
      <c r="S115" s="47">
        <f t="shared" si="33"/>
        <v>22508541</v>
      </c>
      <c r="T115" s="47">
        <f t="shared" si="33"/>
        <v>209.12791954198499</v>
      </c>
      <c r="U115" s="47">
        <f t="shared" si="33"/>
        <v>5073865</v>
      </c>
      <c r="V115" s="47">
        <f t="shared" si="33"/>
        <v>4839468</v>
      </c>
      <c r="W115" s="47">
        <f t="shared" si="33"/>
        <v>4836028</v>
      </c>
      <c r="X115" s="47">
        <f t="shared" si="33"/>
        <v>1576000</v>
      </c>
      <c r="Y115" s="47">
        <f t="shared" si="33"/>
        <v>15714500</v>
      </c>
      <c r="Z115" s="47">
        <f t="shared" si="33"/>
        <v>1043500</v>
      </c>
      <c r="AA115" s="47">
        <f t="shared" si="33"/>
        <v>40000</v>
      </c>
      <c r="AB115" s="47">
        <f t="shared" si="33"/>
        <v>5514915</v>
      </c>
      <c r="AC115" s="47">
        <f t="shared" si="33"/>
        <v>195626</v>
      </c>
      <c r="AD115" s="47">
        <f t="shared" si="33"/>
        <v>22440086</v>
      </c>
      <c r="AE115" s="47">
        <f t="shared" si="33"/>
        <v>24145527</v>
      </c>
      <c r="AF115" s="47">
        <f t="shared" si="33"/>
        <v>27889037</v>
      </c>
      <c r="AG115" s="47">
        <f t="shared" si="33"/>
        <v>1993910</v>
      </c>
      <c r="AH115" s="47"/>
      <c r="AI115" s="47">
        <f t="shared" si="33"/>
        <v>16938000</v>
      </c>
      <c r="AJ115" s="48">
        <f t="shared" ref="AJ115:AJ120" si="34">AF115/AE115*1-1</f>
        <v>0.15503948205396378</v>
      </c>
      <c r="AK115" s="47">
        <f t="shared" ref="AK115:AR115" si="35">SUM(AK70,AK71,AK74,AK84,AK88)</f>
        <v>2216510</v>
      </c>
      <c r="AL115" s="47">
        <f t="shared" si="35"/>
        <v>14191070</v>
      </c>
      <c r="AM115" s="47">
        <f t="shared" si="35"/>
        <v>2176930</v>
      </c>
      <c r="AN115" s="47">
        <f t="shared" si="35"/>
        <v>60000</v>
      </c>
      <c r="AO115" s="47">
        <f t="shared" si="35"/>
        <v>1012000</v>
      </c>
      <c r="AP115" s="47">
        <f t="shared" si="35"/>
        <v>37000</v>
      </c>
      <c r="AQ115" s="47">
        <f t="shared" si="35"/>
        <v>8622671</v>
      </c>
      <c r="AR115" s="47">
        <f t="shared" si="35"/>
        <v>1226066</v>
      </c>
    </row>
    <row r="116" spans="1:44" ht="21" hidden="1" customHeight="1" x14ac:dyDescent="0.35">
      <c r="A116" s="24"/>
      <c r="B116" s="24"/>
      <c r="C116" s="24"/>
      <c r="D116" s="24"/>
      <c r="E116" s="24"/>
      <c r="F116" s="24"/>
      <c r="G116" s="27" t="s">
        <v>45</v>
      </c>
      <c r="H116" s="49">
        <v>596303</v>
      </c>
      <c r="I116" s="49"/>
      <c r="J116" s="49">
        <v>812350</v>
      </c>
      <c r="K116" s="49"/>
      <c r="L116" s="49">
        <v>609310</v>
      </c>
      <c r="M116" s="49"/>
      <c r="N116" s="49">
        <v>1370751</v>
      </c>
      <c r="O116" s="50"/>
      <c r="P116" s="49"/>
      <c r="Q116" s="49"/>
      <c r="R116" s="49">
        <v>1370751</v>
      </c>
      <c r="S116" s="49">
        <v>2037067</v>
      </c>
      <c r="T116" s="85">
        <f t="shared" ref="T116:T120" si="36">S116/N116*1-1</f>
        <v>0.4860955782633023</v>
      </c>
      <c r="U116" s="86">
        <f t="shared" ref="U116:U120" si="37">S116-N116</f>
        <v>666316</v>
      </c>
      <c r="V116" s="49">
        <v>1370751</v>
      </c>
      <c r="W116" s="49">
        <v>1370751</v>
      </c>
      <c r="Y116" s="49" t="e">
        <f>SUM(R126,S135,#REF!)</f>
        <v>#REF!</v>
      </c>
      <c r="Z116" s="49">
        <f>SUM(S140)</f>
        <v>0</v>
      </c>
      <c r="AA116" s="49">
        <f>SUM(S143)</f>
        <v>0</v>
      </c>
      <c r="AB116" s="49"/>
      <c r="AC116" s="49">
        <f>SUM(S146)</f>
        <v>0</v>
      </c>
      <c r="AD116" s="49"/>
      <c r="AE116" s="49">
        <v>3704710</v>
      </c>
      <c r="AF116" s="49">
        <v>5881370</v>
      </c>
      <c r="AG116" s="49"/>
      <c r="AH116" s="49"/>
      <c r="AI116" s="49">
        <f>SUM(AL116,AM116,AN116,AO116,AP116,AQ116,AR116)</f>
        <v>0</v>
      </c>
      <c r="AJ116" s="50">
        <f t="shared" si="34"/>
        <v>0.58753856577167984</v>
      </c>
      <c r="AK116" s="49">
        <f>AI116-AF116</f>
        <v>-5881370</v>
      </c>
      <c r="AL116" s="49"/>
      <c r="AM116" s="49"/>
      <c r="AN116" s="49"/>
      <c r="AO116" s="49"/>
      <c r="AP116" s="49"/>
      <c r="AQ116" s="49"/>
      <c r="AR116" s="49"/>
    </row>
    <row r="117" spans="1:44" ht="24.75" hidden="1" customHeight="1" x14ac:dyDescent="0.35">
      <c r="A117" s="5"/>
      <c r="B117" s="5"/>
      <c r="C117" s="5"/>
      <c r="D117" s="5"/>
      <c r="E117" s="5"/>
      <c r="F117" s="5"/>
      <c r="G117" s="6" t="s">
        <v>46</v>
      </c>
      <c r="H117" s="47" t="e">
        <f>SUM(H115:H116)</f>
        <v>#REF!</v>
      </c>
      <c r="I117" s="47"/>
      <c r="J117" s="47">
        <f>SUM(J115:J116)</f>
        <v>17144895</v>
      </c>
      <c r="K117" s="47"/>
      <c r="L117" s="47">
        <f>SUM(L115:L116)</f>
        <v>18543741</v>
      </c>
      <c r="M117" s="47"/>
      <c r="N117" s="47">
        <f>SUM(N115:N116)</f>
        <v>18805427</v>
      </c>
      <c r="O117" s="48">
        <f>N117/L117*1-1</f>
        <v>1.4111823498829112E-2</v>
      </c>
      <c r="P117" s="47">
        <f>N117-L117</f>
        <v>261686</v>
      </c>
      <c r="Q117" s="47"/>
      <c r="R117" s="47">
        <f>SUM(R115:R116)</f>
        <v>14857201</v>
      </c>
      <c r="S117" s="47">
        <f>SUM(S115:S116)</f>
        <v>24545608</v>
      </c>
      <c r="T117" s="48">
        <f t="shared" si="36"/>
        <v>0.30524066270869565</v>
      </c>
      <c r="U117" s="47">
        <f t="shared" si="37"/>
        <v>5740181</v>
      </c>
      <c r="V117" s="47">
        <f>SUM(V115:V116)</f>
        <v>6210219</v>
      </c>
      <c r="W117" s="47">
        <f>SUM(W115:W116)</f>
        <v>6206779</v>
      </c>
      <c r="Y117" s="47" t="e">
        <f t="shared" ref="Y117:AF117" si="38">SUM(Y115:Y116)</f>
        <v>#REF!</v>
      </c>
      <c r="Z117" s="47">
        <f t="shared" si="38"/>
        <v>1043500</v>
      </c>
      <c r="AA117" s="47">
        <f t="shared" si="38"/>
        <v>40000</v>
      </c>
      <c r="AB117" s="47">
        <f t="shared" si="38"/>
        <v>5514915</v>
      </c>
      <c r="AC117" s="47">
        <f t="shared" si="38"/>
        <v>195626</v>
      </c>
      <c r="AD117" s="47">
        <f t="shared" si="38"/>
        <v>22440086</v>
      </c>
      <c r="AE117" s="47">
        <f t="shared" si="38"/>
        <v>27850237</v>
      </c>
      <c r="AF117" s="47">
        <f t="shared" si="38"/>
        <v>33770407</v>
      </c>
      <c r="AG117" s="47"/>
      <c r="AH117" s="47"/>
      <c r="AI117" s="47"/>
      <c r="AJ117" s="48">
        <f t="shared" si="34"/>
        <v>0.21257162012660791</v>
      </c>
      <c r="AK117" s="47">
        <f>SUM(AK72,AK73,AK76,AK86,AK90)</f>
        <v>2076147</v>
      </c>
      <c r="AL117" s="47">
        <f>SUM(AL115:AL116)</f>
        <v>14191070</v>
      </c>
      <c r="AM117" s="47">
        <f t="shared" ref="AM117:AN117" si="39">SUM(AM115:AM116)</f>
        <v>2176930</v>
      </c>
      <c r="AN117" s="47">
        <f t="shared" si="39"/>
        <v>60000</v>
      </c>
      <c r="AO117" s="47">
        <f>SUM(AO115:AO116)</f>
        <v>1012000</v>
      </c>
      <c r="AP117" s="47">
        <f>SUM(AP115:AP116)</f>
        <v>37000</v>
      </c>
      <c r="AQ117" s="47">
        <f>SUM(AQ115:AQ116)</f>
        <v>8622671</v>
      </c>
      <c r="AR117" s="47">
        <f>SUM(AR115:AR116)</f>
        <v>1226066</v>
      </c>
    </row>
    <row r="118" spans="1:44" ht="26.25" hidden="1" customHeight="1" x14ac:dyDescent="0.35">
      <c r="A118" s="25"/>
      <c r="B118" s="25"/>
      <c r="C118" s="25"/>
      <c r="D118" s="25"/>
      <c r="E118" s="25"/>
      <c r="F118" s="25"/>
      <c r="G118" s="26" t="s">
        <v>33</v>
      </c>
      <c r="H118" s="51">
        <v>1407727</v>
      </c>
      <c r="I118" s="51"/>
      <c r="J118" s="51">
        <v>1119202</v>
      </c>
      <c r="K118" s="51"/>
      <c r="L118" s="51">
        <v>358980</v>
      </c>
      <c r="M118" s="51"/>
      <c r="N118" s="52">
        <v>374173</v>
      </c>
      <c r="O118" s="53">
        <f>N118/L118*1-1</f>
        <v>4.2322692071981693E-2</v>
      </c>
      <c r="P118" s="51">
        <f>N118-L118</f>
        <v>15193</v>
      </c>
      <c r="Q118" s="51"/>
      <c r="R118" s="52">
        <v>374173</v>
      </c>
      <c r="S118" s="52">
        <v>333995</v>
      </c>
      <c r="T118" s="53">
        <f t="shared" si="36"/>
        <v>-0.10737813792015993</v>
      </c>
      <c r="U118" s="52">
        <f t="shared" si="37"/>
        <v>-40178</v>
      </c>
      <c r="V118" s="52">
        <v>374173</v>
      </c>
      <c r="W118" s="52">
        <v>374173</v>
      </c>
      <c r="Y118" s="52">
        <v>333995</v>
      </c>
      <c r="Z118" s="52"/>
      <c r="AA118" s="52"/>
      <c r="AB118" s="52"/>
      <c r="AC118" s="52"/>
      <c r="AD118" s="52"/>
      <c r="AE118" s="52">
        <v>166138</v>
      </c>
      <c r="AF118" s="52">
        <v>316527</v>
      </c>
      <c r="AG118" s="52"/>
      <c r="AH118" s="52"/>
      <c r="AI118" s="52"/>
      <c r="AJ118" s="53">
        <f t="shared" si="34"/>
        <v>0.90520531124727643</v>
      </c>
      <c r="AK118" s="52">
        <f>AF118-AE118</f>
        <v>150389</v>
      </c>
      <c r="AL118" s="52">
        <f>SUM(AF118)</f>
        <v>316527</v>
      </c>
      <c r="AM118" s="52"/>
      <c r="AN118" s="52"/>
      <c r="AO118" s="52"/>
      <c r="AP118" s="52"/>
      <c r="AQ118" s="52"/>
      <c r="AR118" s="52"/>
    </row>
    <row r="119" spans="1:44" ht="26.25" hidden="1" customHeight="1" x14ac:dyDescent="0.35">
      <c r="A119" s="25"/>
      <c r="B119" s="25"/>
      <c r="C119" s="25"/>
      <c r="D119" s="25"/>
      <c r="E119" s="25"/>
      <c r="F119" s="25"/>
      <c r="G119" s="26" t="s">
        <v>47</v>
      </c>
      <c r="H119" s="51">
        <v>58271</v>
      </c>
      <c r="I119" s="51"/>
      <c r="J119" s="51">
        <v>178172</v>
      </c>
      <c r="K119" s="51"/>
      <c r="L119" s="51">
        <v>708350</v>
      </c>
      <c r="M119" s="51"/>
      <c r="N119" s="52">
        <v>394800</v>
      </c>
      <c r="O119" s="53">
        <f>N119/L119*1-1</f>
        <v>-0.44264840827274654</v>
      </c>
      <c r="P119" s="51">
        <f>N119-L119</f>
        <v>-313550</v>
      </c>
      <c r="Q119" s="51"/>
      <c r="R119" s="52">
        <v>394800</v>
      </c>
      <c r="S119" s="52">
        <v>543850</v>
      </c>
      <c r="T119" s="53">
        <f t="shared" si="36"/>
        <v>0.37753292806484295</v>
      </c>
      <c r="U119" s="52">
        <f t="shared" si="37"/>
        <v>149050</v>
      </c>
      <c r="V119" s="52">
        <v>394800</v>
      </c>
      <c r="W119" s="52">
        <v>394800</v>
      </c>
      <c r="Y119" s="52">
        <v>543850</v>
      </c>
      <c r="Z119" s="52"/>
      <c r="AA119" s="52"/>
      <c r="AB119" s="52"/>
      <c r="AC119" s="52"/>
      <c r="AD119" s="52"/>
      <c r="AE119" s="52">
        <v>201500</v>
      </c>
      <c r="AF119" s="146">
        <v>316527</v>
      </c>
      <c r="AG119" s="146"/>
      <c r="AH119" s="146"/>
      <c r="AI119" s="146"/>
      <c r="AJ119" s="53">
        <f t="shared" si="34"/>
        <v>0.57085359801488833</v>
      </c>
      <c r="AK119" s="52">
        <f>AF119-AE119</f>
        <v>115027</v>
      </c>
      <c r="AL119" s="52">
        <f>SUM(AF119)</f>
        <v>316527</v>
      </c>
      <c r="AM119" s="52"/>
      <c r="AN119" s="52"/>
      <c r="AO119" s="52"/>
      <c r="AP119" s="52"/>
      <c r="AQ119" s="52"/>
      <c r="AR119" s="52"/>
    </row>
    <row r="120" spans="1:44" ht="24" hidden="1" customHeight="1" x14ac:dyDescent="0.35">
      <c r="A120" s="14"/>
      <c r="B120" s="14"/>
      <c r="C120" s="14"/>
      <c r="D120" s="14"/>
      <c r="E120" s="14"/>
      <c r="F120" s="14"/>
      <c r="G120" s="54" t="s">
        <v>48</v>
      </c>
      <c r="H120" s="55" t="e">
        <f>H117+H118-H119</f>
        <v>#REF!</v>
      </c>
      <c r="I120" s="55"/>
      <c r="J120" s="55">
        <f>J117+J118-J119</f>
        <v>18085925</v>
      </c>
      <c r="K120" s="55"/>
      <c r="L120" s="55">
        <f>L117+L118-L119</f>
        <v>18194371</v>
      </c>
      <c r="M120" s="55"/>
      <c r="N120" s="55">
        <f>N117+N118-N119</f>
        <v>18784800</v>
      </c>
      <c r="O120" s="56">
        <f>N120/L120*1-1</f>
        <v>3.2451190535798036E-2</v>
      </c>
      <c r="P120" s="55">
        <f>N120-L120</f>
        <v>590429</v>
      </c>
      <c r="Q120" s="55"/>
      <c r="R120" s="55">
        <f>R117+R118-R119</f>
        <v>14836574</v>
      </c>
      <c r="S120" s="55">
        <f>S117+S118-S119</f>
        <v>24335753</v>
      </c>
      <c r="T120" s="56">
        <f t="shared" si="36"/>
        <v>0.29550237426004</v>
      </c>
      <c r="U120" s="55">
        <f t="shared" si="37"/>
        <v>5550953</v>
      </c>
      <c r="V120" s="55">
        <f>V117+V118-V119</f>
        <v>6189592</v>
      </c>
      <c r="W120" s="55">
        <f>W117+W118-W119</f>
        <v>6186152</v>
      </c>
      <c r="Y120" s="55" t="e">
        <f t="shared" ref="Y120:AF120" si="40">Y117+Y118-Y119</f>
        <v>#REF!</v>
      </c>
      <c r="Z120" s="55">
        <f t="shared" si="40"/>
        <v>1043500</v>
      </c>
      <c r="AA120" s="55">
        <f t="shared" si="40"/>
        <v>40000</v>
      </c>
      <c r="AB120" s="55">
        <f t="shared" si="40"/>
        <v>5514915</v>
      </c>
      <c r="AC120" s="55">
        <f t="shared" si="40"/>
        <v>195626</v>
      </c>
      <c r="AD120" s="55">
        <f t="shared" si="40"/>
        <v>22440086</v>
      </c>
      <c r="AE120" s="55">
        <f t="shared" si="40"/>
        <v>27814875</v>
      </c>
      <c r="AF120" s="55">
        <f t="shared" si="40"/>
        <v>33770407</v>
      </c>
      <c r="AG120" s="55"/>
      <c r="AH120" s="55"/>
      <c r="AI120" s="55"/>
      <c r="AJ120" s="56">
        <f t="shared" si="34"/>
        <v>0.21411320381630339</v>
      </c>
      <c r="AK120" s="55">
        <f>AF120-AE120</f>
        <v>5955532</v>
      </c>
      <c r="AL120" s="55">
        <f>AL117+AL118-AL119</f>
        <v>14191070</v>
      </c>
      <c r="AM120" s="55">
        <f t="shared" ref="AM120:AN120" si="41">AM117+AM118-AM119</f>
        <v>2176930</v>
      </c>
      <c r="AN120" s="55">
        <f t="shared" si="41"/>
        <v>60000</v>
      </c>
      <c r="AO120" s="55">
        <f>AO117+AO118-AO119</f>
        <v>1012000</v>
      </c>
      <c r="AP120" s="55">
        <f>AP117+AP118-AP119</f>
        <v>37000</v>
      </c>
      <c r="AQ120" s="55">
        <f>AQ117+AQ118-AQ119</f>
        <v>8622671</v>
      </c>
      <c r="AR120" s="55">
        <f>AR117+AR118-AR119</f>
        <v>1226066</v>
      </c>
    </row>
    <row r="121" spans="1:44" ht="15" hidden="1" customHeight="1" x14ac:dyDescent="0.35">
      <c r="Z121" s="98"/>
      <c r="AM121" s="98">
        <f>SUM(AL120:AN120)</f>
        <v>16428000</v>
      </c>
      <c r="AO121" s="98"/>
    </row>
    <row r="122" spans="1:44" hidden="1" x14ac:dyDescent="0.35">
      <c r="N122" s="34" t="s">
        <v>98</v>
      </c>
      <c r="R122" s="34">
        <f>SUM(R123:R129)</f>
        <v>2085460</v>
      </c>
      <c r="AD122" s="34">
        <f>SUM(AD123:AD129)</f>
        <v>3455326</v>
      </c>
      <c r="AP122" t="s">
        <v>168</v>
      </c>
      <c r="AQ122" t="s">
        <v>169</v>
      </c>
    </row>
    <row r="123" spans="1:44" hidden="1" x14ac:dyDescent="0.35">
      <c r="N123" t="s">
        <v>87</v>
      </c>
      <c r="R123">
        <v>1213930</v>
      </c>
      <c r="AD123" s="118">
        <v>600</v>
      </c>
      <c r="AE123" s="118"/>
      <c r="AF123" s="118"/>
      <c r="AG123" s="118"/>
      <c r="AH123" s="118"/>
      <c r="AI123" s="118"/>
      <c r="AP123">
        <f>SUM(AD123:AD124)</f>
        <v>297025</v>
      </c>
      <c r="AQ123">
        <f>SUM(AD126,AD125)</f>
        <v>2328374.9</v>
      </c>
    </row>
    <row r="124" spans="1:44" hidden="1" x14ac:dyDescent="0.35">
      <c r="AD124" s="118">
        <v>296425</v>
      </c>
      <c r="AE124" s="118" t="s">
        <v>167</v>
      </c>
      <c r="AF124" s="118" t="s">
        <v>167</v>
      </c>
      <c r="AG124" s="118"/>
      <c r="AH124" s="118"/>
      <c r="AI124" s="118"/>
      <c r="AJ124" s="34">
        <f>SUM(AD123:AD124)</f>
        <v>297025</v>
      </c>
      <c r="AK124" t="s">
        <v>168</v>
      </c>
      <c r="AQ124" t="e">
        <f>SUM(#REF!)</f>
        <v>#REF!</v>
      </c>
    </row>
    <row r="125" spans="1:44" hidden="1" x14ac:dyDescent="0.35">
      <c r="N125" t="s">
        <v>214</v>
      </c>
      <c r="AD125" s="110">
        <v>4732</v>
      </c>
      <c r="AE125" s="110" t="s">
        <v>164</v>
      </c>
      <c r="AF125" s="110" t="s">
        <v>164</v>
      </c>
      <c r="AG125" s="110"/>
      <c r="AH125" s="110"/>
      <c r="AI125" s="110"/>
      <c r="AJ125">
        <f>SUM(AD123:AD126)</f>
        <v>2625399.9</v>
      </c>
      <c r="AP125">
        <f>SUM(AE131)</f>
        <v>13958440</v>
      </c>
    </row>
    <row r="126" spans="1:44" hidden="1" x14ac:dyDescent="0.35">
      <c r="N126" t="s">
        <v>213</v>
      </c>
      <c r="R126" s="22">
        <v>106335</v>
      </c>
      <c r="AD126" s="22">
        <v>2323642.9</v>
      </c>
      <c r="AP126">
        <f>SUM(AE132)</f>
        <v>3845500</v>
      </c>
      <c r="AQ126">
        <f>SUM(AE135:AE137)</f>
        <v>5210300</v>
      </c>
      <c r="AR126">
        <f>SUM(AP126:AQ126)</f>
        <v>9055800</v>
      </c>
    </row>
    <row r="127" spans="1:44" hidden="1" x14ac:dyDescent="0.35">
      <c r="N127" t="s">
        <v>99</v>
      </c>
      <c r="R127">
        <v>431200</v>
      </c>
      <c r="AD127">
        <v>663856.31000000006</v>
      </c>
      <c r="AP127" s="118" t="e">
        <f>SUM(AP123:AP126,AQ123:AQ126)</f>
        <v>#REF!</v>
      </c>
      <c r="AQ127" t="e">
        <f>SUM(AQ123:AQ126)</f>
        <v>#REF!</v>
      </c>
    </row>
    <row r="128" spans="1:44" hidden="1" x14ac:dyDescent="0.35">
      <c r="N128" t="s">
        <v>166</v>
      </c>
      <c r="AD128">
        <v>148841</v>
      </c>
      <c r="AE128">
        <v>333760</v>
      </c>
      <c r="AL128" s="118">
        <f>SUM(AJ125,AE130)</f>
        <v>24598399.899999999</v>
      </c>
      <c r="AM128" s="118"/>
      <c r="AN128" s="118"/>
      <c r="AP128" t="e">
        <f>AL117-AP127</f>
        <v>#REF!</v>
      </c>
    </row>
    <row r="129" spans="14:43" hidden="1" x14ac:dyDescent="0.35">
      <c r="N129" t="s">
        <v>165</v>
      </c>
      <c r="R129">
        <v>333995</v>
      </c>
      <c r="AD129">
        <v>17228.79</v>
      </c>
      <c r="AE129">
        <v>605</v>
      </c>
    </row>
    <row r="130" spans="14:43" hidden="1" x14ac:dyDescent="0.35">
      <c r="N130" s="34" t="s">
        <v>101</v>
      </c>
      <c r="S130" s="34">
        <f>SUM(S134,S131,S132,S135:S137)</f>
        <v>0</v>
      </c>
      <c r="AE130" s="34">
        <f>SUM(AE131:AE134)</f>
        <v>21973000</v>
      </c>
      <c r="AF130" s="34">
        <f>SUM(AF131,AF132,AF135:AF137)</f>
        <v>0</v>
      </c>
      <c r="AG130" s="34"/>
      <c r="AH130" s="34"/>
      <c r="AI130" s="34"/>
    </row>
    <row r="131" spans="14:43" hidden="1" x14ac:dyDescent="0.35">
      <c r="N131" t="s">
        <v>100</v>
      </c>
      <c r="AE131">
        <v>13958440</v>
      </c>
    </row>
    <row r="132" spans="14:43" hidden="1" x14ac:dyDescent="0.35">
      <c r="N132" t="s">
        <v>102</v>
      </c>
      <c r="AE132">
        <v>3845500</v>
      </c>
    </row>
    <row r="133" spans="14:43" hidden="1" x14ac:dyDescent="0.35">
      <c r="N133" t="s">
        <v>104</v>
      </c>
      <c r="AE133">
        <v>124740</v>
      </c>
    </row>
    <row r="134" spans="14:43" hidden="1" x14ac:dyDescent="0.35">
      <c r="N134" t="s">
        <v>189</v>
      </c>
      <c r="T134" s="87">
        <f>SUM(S106,S94,S70)</f>
        <v>15714500</v>
      </c>
      <c r="Z134" t="s">
        <v>149</v>
      </c>
      <c r="AB134" t="s">
        <v>152</v>
      </c>
      <c r="AE134">
        <v>4044320</v>
      </c>
      <c r="AF134">
        <f>SUM(AE124,AE123,AF131,AF132)</f>
        <v>0</v>
      </c>
      <c r="AJ134" s="87"/>
      <c r="AO134" t="s">
        <v>216</v>
      </c>
      <c r="AQ134" t="s">
        <v>152</v>
      </c>
    </row>
    <row r="135" spans="14:43" hidden="1" x14ac:dyDescent="0.35">
      <c r="N135" t="s">
        <v>213</v>
      </c>
      <c r="S135" s="22"/>
      <c r="T135" s="116" t="s">
        <v>153</v>
      </c>
      <c r="U135" t="s">
        <v>106</v>
      </c>
      <c r="AD135" s="116" t="s">
        <v>161</v>
      </c>
      <c r="AE135" s="143">
        <v>4857261</v>
      </c>
      <c r="AF135" s="119"/>
      <c r="AG135" s="147"/>
      <c r="AH135" s="147"/>
      <c r="AI135" s="147"/>
      <c r="AJ135" s="116" t="s">
        <v>172</v>
      </c>
      <c r="AK135" t="s">
        <v>160</v>
      </c>
      <c r="AL135" s="34" t="s">
        <v>87</v>
      </c>
      <c r="AO135" s="142">
        <v>5092175.78</v>
      </c>
      <c r="AQ135" s="113">
        <f>AO135-AE135</f>
        <v>234914.78000000026</v>
      </c>
    </row>
    <row r="136" spans="14:43" hidden="1" x14ac:dyDescent="0.35">
      <c r="S136" s="22"/>
      <c r="T136" s="116"/>
      <c r="AD136" s="116"/>
      <c r="AE136" s="143">
        <v>6105</v>
      </c>
      <c r="AF136" s="119"/>
      <c r="AG136" s="147"/>
      <c r="AH136" s="147"/>
      <c r="AI136" s="147"/>
      <c r="AJ136" s="116" t="s">
        <v>171</v>
      </c>
      <c r="AL136" s="114" t="s">
        <v>219</v>
      </c>
      <c r="AO136" s="142">
        <v>6105.46</v>
      </c>
      <c r="AQ136" s="113">
        <f>AO136-AE136</f>
        <v>0.46000000000003638</v>
      </c>
    </row>
    <row r="137" spans="14:43" hidden="1" x14ac:dyDescent="0.35">
      <c r="S137" s="22"/>
      <c r="T137" s="116"/>
      <c r="AD137" s="116"/>
      <c r="AE137" s="143">
        <v>346934</v>
      </c>
      <c r="AF137" s="119"/>
      <c r="AG137" s="147"/>
      <c r="AH137" s="147"/>
      <c r="AI137" s="147"/>
      <c r="AJ137" s="116" t="s">
        <v>170</v>
      </c>
      <c r="AL137" s="114" t="s">
        <v>164</v>
      </c>
      <c r="AO137" s="142">
        <v>346933.88</v>
      </c>
      <c r="AQ137" s="113">
        <f>AO137-AE137</f>
        <v>-0.11999999999534339</v>
      </c>
    </row>
    <row r="138" spans="14:43" hidden="1" x14ac:dyDescent="0.35">
      <c r="N138" s="34" t="s">
        <v>103</v>
      </c>
      <c r="S138" s="34">
        <f>SUM(S139:S140)</f>
        <v>0</v>
      </c>
      <c r="Y138" s="114"/>
      <c r="Z138" s="115"/>
      <c r="AB138" s="113"/>
      <c r="AD138" s="116"/>
      <c r="AE138" s="144">
        <f>SUM(AE139:AE140)</f>
        <v>1380787</v>
      </c>
      <c r="AF138" s="34">
        <f>SUM(AF139:AF140)</f>
        <v>0</v>
      </c>
      <c r="AG138" s="34"/>
      <c r="AH138" s="34"/>
      <c r="AI138" s="34"/>
      <c r="AL138" s="114"/>
      <c r="AM138" s="114"/>
      <c r="AN138" s="114"/>
      <c r="AO138" s="142"/>
      <c r="AQ138" s="113"/>
    </row>
    <row r="139" spans="14:43" hidden="1" x14ac:dyDescent="0.35">
      <c r="N139" t="s">
        <v>215</v>
      </c>
      <c r="Y139" s="114"/>
      <c r="Z139" s="115"/>
      <c r="AB139" s="113"/>
      <c r="AD139" s="116" t="s">
        <v>162</v>
      </c>
      <c r="AE139" s="145">
        <v>1252000</v>
      </c>
      <c r="AL139" s="114"/>
      <c r="AM139" s="114"/>
      <c r="AN139" s="114"/>
      <c r="AO139" s="142"/>
      <c r="AQ139" s="113"/>
    </row>
    <row r="140" spans="14:43" hidden="1" x14ac:dyDescent="0.35">
      <c r="N140" t="s">
        <v>213</v>
      </c>
      <c r="S140" s="22"/>
      <c r="U140">
        <f>SUM(R126,S135:S137,S140)</f>
        <v>106335</v>
      </c>
      <c r="Y140" s="114" t="s">
        <v>150</v>
      </c>
      <c r="Z140" s="115">
        <v>64389.24</v>
      </c>
      <c r="AB140" s="113">
        <f>Z140-S140</f>
        <v>64389.24</v>
      </c>
      <c r="AD140" s="116" t="s">
        <v>161</v>
      </c>
      <c r="AE140" s="22">
        <v>128787</v>
      </c>
      <c r="AF140" s="22"/>
      <c r="AG140" s="148"/>
      <c r="AH140" s="148"/>
      <c r="AI140" s="148"/>
      <c r="AK140">
        <f>SUM(AD126,AE135:AE137,AE140)</f>
        <v>7662729.9000000004</v>
      </c>
      <c r="AL140" s="114" t="s">
        <v>150</v>
      </c>
      <c r="AM140" s="114"/>
      <c r="AN140" s="114"/>
      <c r="AO140" s="142">
        <v>128787.16</v>
      </c>
      <c r="AQ140" s="113">
        <f>AO140-AE140</f>
        <v>0.16000000000349246</v>
      </c>
    </row>
    <row r="141" spans="14:43" hidden="1" x14ac:dyDescent="0.35">
      <c r="N141" s="34" t="s">
        <v>105</v>
      </c>
      <c r="S141" s="34">
        <f>SUM(S142:S143)</f>
        <v>0</v>
      </c>
      <c r="Y141" s="114"/>
      <c r="Z141" s="115"/>
      <c r="AB141" s="113"/>
      <c r="AD141" s="116"/>
      <c r="AE141" s="34">
        <f>SUM(AE142:AE143)</f>
        <v>94305</v>
      </c>
      <c r="AF141" s="34">
        <f>SUM(AF142:AF143)</f>
        <v>0</v>
      </c>
      <c r="AG141" s="34"/>
      <c r="AH141" s="34"/>
      <c r="AI141" s="34"/>
      <c r="AL141" s="114"/>
      <c r="AM141" s="114"/>
      <c r="AN141" s="114"/>
      <c r="AO141" s="142"/>
      <c r="AQ141" s="113"/>
    </row>
    <row r="142" spans="14:43" hidden="1" x14ac:dyDescent="0.35">
      <c r="N142">
        <v>2020</v>
      </c>
      <c r="Y142" s="114"/>
      <c r="Z142" s="115"/>
      <c r="AB142" s="113"/>
      <c r="AD142" s="116"/>
      <c r="AE142">
        <v>37000</v>
      </c>
      <c r="AL142" s="114"/>
      <c r="AM142" s="114"/>
      <c r="AN142" s="114"/>
      <c r="AO142" s="142"/>
      <c r="AQ142" s="113"/>
    </row>
    <row r="143" spans="14:43" hidden="1" x14ac:dyDescent="0.35">
      <c r="N143" t="s">
        <v>213</v>
      </c>
      <c r="S143" s="22"/>
      <c r="Y143" s="114" t="s">
        <v>105</v>
      </c>
      <c r="Z143" s="115">
        <v>50471.91</v>
      </c>
      <c r="AB143" s="113">
        <f>Z143-S143</f>
        <v>50471.91</v>
      </c>
      <c r="AD143" s="116" t="s">
        <v>161</v>
      </c>
      <c r="AE143" s="22">
        <v>57305</v>
      </c>
      <c r="AF143" s="22"/>
      <c r="AG143" s="148"/>
      <c r="AH143" s="148"/>
      <c r="AI143" s="148"/>
      <c r="AL143" s="114" t="s">
        <v>105</v>
      </c>
      <c r="AM143" s="114"/>
      <c r="AN143" s="114"/>
      <c r="AO143" s="142">
        <v>57305.1</v>
      </c>
      <c r="AQ143" s="113">
        <f>AO143-AE143</f>
        <v>9.9999999998544808E-2</v>
      </c>
    </row>
    <row r="144" spans="14:43" hidden="1" x14ac:dyDescent="0.35">
      <c r="N144" s="34" t="s">
        <v>108</v>
      </c>
      <c r="S144" s="34">
        <f>SUM(S145:S146)</f>
        <v>0</v>
      </c>
      <c r="Y144" s="114"/>
      <c r="Z144" s="115"/>
      <c r="AB144" s="113"/>
      <c r="AD144" s="116"/>
      <c r="AE144" s="34">
        <f>SUM(AE145:AE146)</f>
        <v>525118</v>
      </c>
      <c r="AF144" s="34">
        <f>SUM(AF145:AF146)</f>
        <v>0</v>
      </c>
      <c r="AG144" s="34"/>
      <c r="AH144" s="34"/>
      <c r="AI144" s="34"/>
      <c r="AL144" s="114"/>
      <c r="AM144" s="114"/>
      <c r="AN144" s="114"/>
      <c r="AO144" s="142"/>
      <c r="AQ144" s="113"/>
    </row>
    <row r="145" spans="1:43" hidden="1" x14ac:dyDescent="0.35">
      <c r="N145">
        <v>2020</v>
      </c>
      <c r="Y145" s="114"/>
      <c r="Z145" s="115"/>
      <c r="AB145" s="113"/>
      <c r="AD145" s="116"/>
      <c r="AE145" s="120">
        <v>40140</v>
      </c>
      <c r="AF145" s="120"/>
      <c r="AG145" s="120"/>
      <c r="AH145" s="120"/>
      <c r="AI145" s="120"/>
      <c r="AL145" s="114"/>
      <c r="AM145" s="114"/>
      <c r="AN145" s="114"/>
      <c r="AO145" s="142"/>
      <c r="AQ145" s="113"/>
    </row>
    <row r="146" spans="1:43" hidden="1" x14ac:dyDescent="0.35">
      <c r="N146" t="s">
        <v>213</v>
      </c>
      <c r="S146" s="22"/>
      <c r="Y146" s="114" t="s">
        <v>108</v>
      </c>
      <c r="Z146" s="115">
        <v>694147.48</v>
      </c>
      <c r="AB146" s="113">
        <f>Z146-S146</f>
        <v>694147.48</v>
      </c>
      <c r="AD146" s="116" t="s">
        <v>161</v>
      </c>
      <c r="AE146" s="22">
        <v>484978</v>
      </c>
      <c r="AF146" s="22"/>
      <c r="AG146" s="148"/>
      <c r="AH146" s="148"/>
      <c r="AI146" s="148"/>
      <c r="AL146" s="114" t="s">
        <v>108</v>
      </c>
      <c r="AM146" s="114"/>
      <c r="AN146" s="114"/>
      <c r="AO146" s="142">
        <v>484978</v>
      </c>
      <c r="AQ146" s="113">
        <f>AO146-AE146</f>
        <v>0</v>
      </c>
    </row>
    <row r="147" spans="1:43" ht="15" hidden="1" thickBot="1" x14ac:dyDescent="0.4">
      <c r="S147" s="89"/>
      <c r="Y147" s="114"/>
      <c r="Z147" s="115"/>
      <c r="AB147" s="113"/>
      <c r="AD147" s="116"/>
      <c r="AE147" s="89"/>
      <c r="AF147" s="89"/>
      <c r="AG147" s="149"/>
      <c r="AH147" s="149"/>
      <c r="AI147" s="149"/>
      <c r="AL147" s="114"/>
      <c r="AM147" s="114"/>
      <c r="AN147" s="114"/>
      <c r="AO147" s="115"/>
      <c r="AQ147" s="113"/>
    </row>
    <row r="148" spans="1:43" ht="15" hidden="1" thickBot="1" x14ac:dyDescent="0.4">
      <c r="N148" t="s">
        <v>107</v>
      </c>
      <c r="S148" s="88">
        <f>SUM(S135:S137,S140,S143,S146)</f>
        <v>0</v>
      </c>
      <c r="Y148" s="114" t="s">
        <v>151</v>
      </c>
      <c r="Z148" s="115">
        <f>SUM(Z138:Z147)</f>
        <v>809008.63</v>
      </c>
      <c r="AB148" s="113"/>
      <c r="AD148" s="116"/>
      <c r="AE148" s="88">
        <f>SUM(AE135:AE137,AE140,AE143,AE146)</f>
        <v>5881370</v>
      </c>
      <c r="AF148" s="88">
        <f>SUM(AE126,AF135,AF140,AF143,AF146)</f>
        <v>0</v>
      </c>
      <c r="AG148" s="150"/>
      <c r="AH148" s="150"/>
      <c r="AI148" s="150"/>
      <c r="AL148" s="114" t="s">
        <v>151</v>
      </c>
      <c r="AM148" s="114"/>
      <c r="AN148" s="114"/>
      <c r="AO148" s="142">
        <f>SUM(AO135:AO147)</f>
        <v>6116285.3799999999</v>
      </c>
      <c r="AQ148" s="113">
        <f>SUM(AQ135:AQ147)</f>
        <v>234915.38000000027</v>
      </c>
    </row>
    <row r="149" spans="1:43" ht="40.75" customHeight="1" x14ac:dyDescent="0.35">
      <c r="G149" s="363" t="s">
        <v>240</v>
      </c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  <c r="V149" s="363"/>
      <c r="W149" s="363"/>
      <c r="X149" s="363"/>
      <c r="Y149" s="363"/>
      <c r="Z149" s="363"/>
      <c r="AA149" s="363"/>
      <c r="AB149" s="363"/>
      <c r="AC149" s="363"/>
      <c r="AD149" s="363"/>
      <c r="AE149" s="363"/>
      <c r="AF149" s="363"/>
      <c r="AI149" s="166">
        <f>SUM(AI18,AI19,AI20,AI23,AI24)*(-1)</f>
        <v>-360000</v>
      </c>
    </row>
    <row r="150" spans="1:43" ht="38.5" customHeight="1" x14ac:dyDescent="0.35">
      <c r="G150" s="185" t="s">
        <v>248</v>
      </c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4">
        <v>-29000</v>
      </c>
      <c r="AI150" s="182"/>
    </row>
    <row r="151" spans="1:43" ht="27" customHeight="1" x14ac:dyDescent="0.35">
      <c r="A151" s="364" t="s">
        <v>239</v>
      </c>
      <c r="B151" s="364"/>
      <c r="C151" s="364"/>
      <c r="D151" s="364"/>
      <c r="E151" s="364"/>
      <c r="F151" s="364"/>
      <c r="G151" s="364"/>
      <c r="N151" s="173">
        <v>11462000</v>
      </c>
      <c r="O151" s="173"/>
      <c r="P151" s="173"/>
      <c r="Q151" s="173"/>
      <c r="R151" s="173"/>
      <c r="S151" s="173">
        <v>15087000</v>
      </c>
      <c r="T151" s="173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/>
      <c r="AE151" s="173">
        <v>15438000</v>
      </c>
      <c r="AF151" s="173">
        <f>SUM(AF70,AF150)</f>
        <v>16041000</v>
      </c>
      <c r="AG151" s="174"/>
      <c r="AH151" s="174"/>
      <c r="AI151" s="183">
        <f>SUM(AI70,AI149)</f>
        <v>14815000</v>
      </c>
      <c r="AJ151" s="175">
        <f>AI151/AF151*1-1</f>
        <v>-7.6429150302350202E-2</v>
      </c>
      <c r="AK151" s="176">
        <f>AI151-AF151</f>
        <v>-1226000</v>
      </c>
    </row>
    <row r="152" spans="1:43" ht="32.5" customHeight="1" x14ac:dyDescent="0.35">
      <c r="G152" s="177" t="s">
        <v>244</v>
      </c>
      <c r="H152" s="178"/>
      <c r="I152" s="178"/>
      <c r="J152" s="178"/>
      <c r="K152" s="178"/>
      <c r="L152" s="178"/>
      <c r="M152" s="178"/>
      <c r="N152" s="179">
        <v>1226987.6200000001</v>
      </c>
      <c r="O152" s="179"/>
      <c r="P152" s="179"/>
      <c r="Q152" s="179"/>
      <c r="R152" s="179"/>
      <c r="S152" s="179">
        <v>1810686.49</v>
      </c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>
        <v>3342492.57</v>
      </c>
      <c r="AF152" s="179">
        <v>5092175.78</v>
      </c>
      <c r="AG152" s="174"/>
      <c r="AH152" s="174"/>
      <c r="AI152" s="179">
        <v>5584000</v>
      </c>
      <c r="AJ152" s="174"/>
      <c r="AK152" s="174"/>
    </row>
    <row r="153" spans="1:43" ht="27" customHeight="1" x14ac:dyDescent="0.35">
      <c r="A153" s="365" t="s">
        <v>245</v>
      </c>
      <c r="B153" s="365"/>
      <c r="C153" s="365"/>
      <c r="D153" s="365"/>
      <c r="E153" s="365"/>
      <c r="F153" s="365"/>
      <c r="G153" s="365"/>
      <c r="H153" s="3"/>
      <c r="I153" s="3"/>
      <c r="J153" s="3"/>
      <c r="K153" s="3"/>
      <c r="L153" s="3"/>
      <c r="M153" s="3"/>
      <c r="N153" s="17">
        <f t="shared" ref="N153:AE153" si="42">SUM(N151:N152)</f>
        <v>12688987.620000001</v>
      </c>
      <c r="O153" s="17">
        <f t="shared" si="42"/>
        <v>0</v>
      </c>
      <c r="P153" s="17">
        <f t="shared" si="42"/>
        <v>0</v>
      </c>
      <c r="Q153" s="17">
        <f t="shared" si="42"/>
        <v>0</v>
      </c>
      <c r="R153" s="17">
        <f t="shared" si="42"/>
        <v>0</v>
      </c>
      <c r="S153" s="17">
        <f t="shared" si="42"/>
        <v>16897686.489999998</v>
      </c>
      <c r="T153" s="17">
        <f t="shared" si="42"/>
        <v>0</v>
      </c>
      <c r="U153" s="17">
        <f t="shared" si="42"/>
        <v>0</v>
      </c>
      <c r="V153" s="17">
        <f t="shared" si="42"/>
        <v>0</v>
      </c>
      <c r="W153" s="17">
        <f t="shared" si="42"/>
        <v>0</v>
      </c>
      <c r="X153" s="17">
        <f t="shared" si="42"/>
        <v>0</v>
      </c>
      <c r="Y153" s="17">
        <f t="shared" si="42"/>
        <v>0</v>
      </c>
      <c r="Z153" s="17">
        <f t="shared" si="42"/>
        <v>0</v>
      </c>
      <c r="AA153" s="17">
        <f t="shared" si="42"/>
        <v>0</v>
      </c>
      <c r="AB153" s="17">
        <f t="shared" si="42"/>
        <v>0</v>
      </c>
      <c r="AC153" s="17">
        <f t="shared" si="42"/>
        <v>0</v>
      </c>
      <c r="AD153" s="17">
        <f t="shared" si="42"/>
        <v>0</v>
      </c>
      <c r="AE153" s="17">
        <f t="shared" si="42"/>
        <v>18780492.57</v>
      </c>
      <c r="AF153" s="17">
        <f>SUM(AF151:AF152)</f>
        <v>21133175.780000001</v>
      </c>
      <c r="AG153" s="3"/>
      <c r="AH153" s="3"/>
      <c r="AI153" s="17">
        <f>SUM(AI151:AI152)</f>
        <v>20399000</v>
      </c>
      <c r="AJ153" s="175">
        <f>AI153/AF153*1-1</f>
        <v>-3.4740437861441098E-2</v>
      </c>
      <c r="AK153" s="176">
        <f>AI153-AF153</f>
        <v>-734175.78000000119</v>
      </c>
    </row>
    <row r="154" spans="1:43" hidden="1" x14ac:dyDescent="0.35">
      <c r="G154" s="2" t="s">
        <v>246</v>
      </c>
      <c r="N154" s="180">
        <v>1638000</v>
      </c>
      <c r="AF154">
        <v>21162176</v>
      </c>
      <c r="AI154">
        <f>SUM(AI153,N154)</f>
        <v>22037000</v>
      </c>
      <c r="AJ154" s="175">
        <f>AI154/AF154*1-1</f>
        <v>4.13390381026979E-2</v>
      </c>
      <c r="AK154" s="176">
        <f>AI154-AF154</f>
        <v>874824</v>
      </c>
    </row>
    <row r="157" spans="1:43" x14ac:dyDescent="0.35">
      <c r="G157" s="4" t="s">
        <v>241</v>
      </c>
      <c r="H157" s="3"/>
      <c r="I157" s="3"/>
      <c r="J157" s="3"/>
      <c r="K157" s="3"/>
      <c r="L157" s="3"/>
      <c r="M157" s="3"/>
      <c r="N157" s="3">
        <v>19776</v>
      </c>
      <c r="O157" s="3"/>
      <c r="P157" s="3"/>
      <c r="Q157" s="3"/>
      <c r="R157" s="3"/>
      <c r="S157" s="3">
        <v>24278</v>
      </c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>
        <v>23544</v>
      </c>
      <c r="AF157" s="3">
        <v>22722</v>
      </c>
      <c r="AG157" s="3"/>
      <c r="AH157" s="3"/>
      <c r="AI157" s="3">
        <v>22497</v>
      </c>
    </row>
    <row r="158" spans="1:43" ht="26.5" x14ac:dyDescent="0.35">
      <c r="G158" s="167" t="s">
        <v>243</v>
      </c>
      <c r="H158" s="3"/>
      <c r="I158" s="3"/>
      <c r="J158" s="3"/>
      <c r="K158" s="3"/>
      <c r="L158" s="3"/>
      <c r="M158" s="3"/>
      <c r="N158" s="3">
        <v>7684</v>
      </c>
      <c r="O158" s="3"/>
      <c r="P158" s="3"/>
      <c r="Q158" s="3"/>
      <c r="R158" s="3"/>
      <c r="S158" s="3">
        <v>11037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>
        <v>9833</v>
      </c>
      <c r="AF158" s="3">
        <v>10007</v>
      </c>
      <c r="AG158" s="3"/>
      <c r="AH158" s="3"/>
      <c r="AI158" s="3">
        <v>9122</v>
      </c>
    </row>
    <row r="159" spans="1:43" x14ac:dyDescent="0.35">
      <c r="G159" s="4" t="s">
        <v>242</v>
      </c>
      <c r="H159" s="3"/>
      <c r="I159" s="3"/>
      <c r="J159" s="3"/>
      <c r="K159" s="3"/>
      <c r="L159" s="3"/>
      <c r="M159" s="3"/>
      <c r="N159" s="3">
        <v>0.3886</v>
      </c>
      <c r="O159" s="3"/>
      <c r="P159" s="3"/>
      <c r="Q159" s="3"/>
      <c r="R159" s="3"/>
      <c r="S159" s="3">
        <v>0.4546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>
        <v>0.41760000000000003</v>
      </c>
      <c r="AF159" s="3">
        <v>0.44040000000000001</v>
      </c>
      <c r="AG159" s="3"/>
      <c r="AH159" s="3"/>
      <c r="AI159" s="3">
        <v>0.40550000000000003</v>
      </c>
    </row>
  </sheetData>
  <mergeCells count="33">
    <mergeCell ref="AI4:AI5"/>
    <mergeCell ref="AH4:AH5"/>
    <mergeCell ref="W4:W5"/>
    <mergeCell ref="A6:G6"/>
    <mergeCell ref="A7:G7"/>
    <mergeCell ref="A68:G68"/>
    <mergeCell ref="Y4:AC4"/>
    <mergeCell ref="Q4:Q5"/>
    <mergeCell ref="R4:R5"/>
    <mergeCell ref="S4:S5"/>
    <mergeCell ref="T4:U4"/>
    <mergeCell ref="V4:V5"/>
    <mergeCell ref="A74:G74"/>
    <mergeCell ref="G149:AF149"/>
    <mergeCell ref="A151:G151"/>
    <mergeCell ref="A153:G153"/>
    <mergeCell ref="A70:G70"/>
    <mergeCell ref="A2:AR2"/>
    <mergeCell ref="A4:G5"/>
    <mergeCell ref="H4:H5"/>
    <mergeCell ref="I4:I5"/>
    <mergeCell ref="J4:J5"/>
    <mergeCell ref="K4:K5"/>
    <mergeCell ref="L4:L5"/>
    <mergeCell ref="M4:M5"/>
    <mergeCell ref="N4:N5"/>
    <mergeCell ref="O4:P4"/>
    <mergeCell ref="AL4:AR4"/>
    <mergeCell ref="AD4:AD5"/>
    <mergeCell ref="AE4:AE5"/>
    <mergeCell ref="AF4:AF5"/>
    <mergeCell ref="AG4:AG5"/>
    <mergeCell ref="AJ4:AK4"/>
  </mergeCells>
  <pageMargins left="0.70866141732283472" right="0" top="0.55118110236220474" bottom="0" header="0.31496062992125984" footer="0.31496062992125984"/>
  <pageSetup paperSize="9" scale="9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CCB88-7C4F-42C0-829B-AE14B6EBB6AB}">
  <dimension ref="A2:AR139"/>
  <sheetViews>
    <sheetView topLeftCell="A43" zoomScale="130" zoomScaleNormal="130" workbookViewId="0">
      <selection activeCell="AH9" sqref="AH9"/>
    </sheetView>
  </sheetViews>
  <sheetFormatPr defaultRowHeight="14.5" x14ac:dyDescent="0.35"/>
  <cols>
    <col min="1" max="1" width="5.81640625" customWidth="1"/>
    <col min="2" max="6" width="9.1796875" hidden="1" customWidth="1"/>
    <col min="7" max="7" width="48.54296875" style="2" customWidth="1"/>
    <col min="8" max="9" width="8.81640625" hidden="1" customWidth="1"/>
    <col min="10" max="10" width="0" hidden="1" customWidth="1"/>
    <col min="11" max="11" width="10.54296875" hidden="1" customWidth="1"/>
    <col min="12" max="13" width="10" hidden="1" customWidth="1"/>
    <col min="14" max="14" width="9.54296875" customWidth="1"/>
    <col min="15" max="15" width="10.54296875" hidden="1" customWidth="1"/>
    <col min="16" max="17" width="10.1796875" hidden="1" customWidth="1"/>
    <col min="18" max="18" width="9.54296875" hidden="1" customWidth="1"/>
    <col min="19" max="19" width="10.1796875" customWidth="1"/>
    <col min="20" max="20" width="12.453125" hidden="1" customWidth="1"/>
    <col min="21" max="21" width="10.1796875" hidden="1" customWidth="1"/>
    <col min="22" max="23" width="9.54296875" hidden="1" customWidth="1"/>
    <col min="24" max="24" width="6.81640625" hidden="1" customWidth="1"/>
    <col min="25" max="25" width="11.54296875" hidden="1" customWidth="1"/>
    <col min="26" max="26" width="11.453125" hidden="1" customWidth="1"/>
    <col min="27" max="27" width="10.1796875" hidden="1" customWidth="1"/>
    <col min="28" max="28" width="11.453125" hidden="1" customWidth="1"/>
    <col min="29" max="29" width="8" hidden="1" customWidth="1"/>
    <col min="30" max="30" width="12.1796875" hidden="1" customWidth="1"/>
    <col min="31" max="31" width="9.81640625" customWidth="1"/>
    <col min="32" max="32" width="10.1796875" customWidth="1"/>
    <col min="33" max="33" width="10.1796875" hidden="1" customWidth="1"/>
    <col min="34" max="34" width="11.81640625" customWidth="1"/>
    <col min="35" max="35" width="9.1796875" customWidth="1"/>
    <col min="36" max="36" width="9.54296875" customWidth="1"/>
    <col min="37" max="37" width="10.81640625" hidden="1" customWidth="1"/>
    <col min="38" max="38" width="8.81640625" hidden="1" customWidth="1"/>
    <col min="39" max="39" width="7.81640625" hidden="1" customWidth="1"/>
    <col min="40" max="40" width="10.453125" hidden="1" customWidth="1"/>
    <col min="41" max="41" width="8.54296875" hidden="1" customWidth="1"/>
    <col min="42" max="42" width="10" hidden="1" customWidth="1"/>
    <col min="43" max="43" width="8" hidden="1" customWidth="1"/>
    <col min="44" max="44" width="8.81640625" style="181"/>
  </cols>
  <sheetData>
    <row r="2" spans="1:44" x14ac:dyDescent="0.35">
      <c r="A2" s="342" t="s">
        <v>223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</row>
    <row r="3" spans="1:44" x14ac:dyDescent="0.35">
      <c r="A3" s="172"/>
      <c r="B3" s="172"/>
      <c r="C3" s="172"/>
      <c r="D3" s="172"/>
      <c r="E3" s="172"/>
      <c r="F3" s="172"/>
      <c r="G3" s="172"/>
      <c r="H3" s="172"/>
      <c r="I3" s="172"/>
      <c r="Q3" s="57">
        <v>42948</v>
      </c>
    </row>
    <row r="4" spans="1:44" ht="24" customHeight="1" x14ac:dyDescent="0.35">
      <c r="A4" s="343" t="s">
        <v>18</v>
      </c>
      <c r="B4" s="343"/>
      <c r="C4" s="343"/>
      <c r="D4" s="343"/>
      <c r="E4" s="343"/>
      <c r="F4" s="343"/>
      <c r="G4" s="343"/>
      <c r="H4" s="356" t="s">
        <v>20</v>
      </c>
      <c r="I4" s="344" t="s">
        <v>85</v>
      </c>
      <c r="J4" s="344" t="s">
        <v>123</v>
      </c>
      <c r="K4" s="344" t="s">
        <v>86</v>
      </c>
      <c r="L4" s="344" t="s">
        <v>124</v>
      </c>
      <c r="M4" s="344" t="s">
        <v>62</v>
      </c>
      <c r="N4" s="344" t="s">
        <v>125</v>
      </c>
      <c r="O4" s="343" t="s">
        <v>32</v>
      </c>
      <c r="P4" s="343"/>
      <c r="Q4" s="344" t="s">
        <v>69</v>
      </c>
      <c r="R4" s="356" t="s">
        <v>55</v>
      </c>
      <c r="S4" s="344" t="s">
        <v>174</v>
      </c>
      <c r="T4" s="343" t="s">
        <v>82</v>
      </c>
      <c r="U4" s="343"/>
      <c r="V4" s="356" t="s">
        <v>56</v>
      </c>
      <c r="W4" s="356" t="s">
        <v>57</v>
      </c>
      <c r="Y4" s="357" t="s">
        <v>117</v>
      </c>
      <c r="Z4" s="358"/>
      <c r="AA4" s="358"/>
      <c r="AB4" s="358"/>
      <c r="AC4" s="359"/>
      <c r="AD4" s="356" t="s">
        <v>56</v>
      </c>
      <c r="AE4" s="344" t="s">
        <v>217</v>
      </c>
      <c r="AF4" s="356" t="s">
        <v>204</v>
      </c>
      <c r="AG4" s="344" t="s">
        <v>236</v>
      </c>
      <c r="AH4" s="344" t="s">
        <v>224</v>
      </c>
      <c r="AI4" s="356" t="s">
        <v>232</v>
      </c>
      <c r="AJ4" s="356"/>
      <c r="AK4" s="357" t="s">
        <v>209</v>
      </c>
      <c r="AL4" s="358"/>
      <c r="AM4" s="358"/>
      <c r="AN4" s="358"/>
      <c r="AO4" s="358"/>
      <c r="AP4" s="358"/>
      <c r="AQ4" s="359"/>
    </row>
    <row r="5" spans="1:44" ht="77.150000000000006" customHeight="1" x14ac:dyDescent="0.35">
      <c r="A5" s="343"/>
      <c r="B5" s="343"/>
      <c r="C5" s="343"/>
      <c r="D5" s="343"/>
      <c r="E5" s="343"/>
      <c r="F5" s="343"/>
      <c r="G5" s="343"/>
      <c r="H5" s="356"/>
      <c r="I5" s="345"/>
      <c r="J5" s="345"/>
      <c r="K5" s="345"/>
      <c r="L5" s="345"/>
      <c r="M5" s="345"/>
      <c r="N5" s="345"/>
      <c r="O5" s="7" t="s">
        <v>21</v>
      </c>
      <c r="P5" s="7" t="s">
        <v>22</v>
      </c>
      <c r="Q5" s="345"/>
      <c r="R5" s="356"/>
      <c r="S5" s="345"/>
      <c r="T5" s="7" t="s">
        <v>21</v>
      </c>
      <c r="U5" s="7" t="s">
        <v>22</v>
      </c>
      <c r="V5" s="356"/>
      <c r="W5" s="356"/>
      <c r="Y5" s="170" t="s">
        <v>118</v>
      </c>
      <c r="Z5" s="170" t="s">
        <v>119</v>
      </c>
      <c r="AA5" s="170" t="s">
        <v>120</v>
      </c>
      <c r="AB5" s="170" t="s">
        <v>122</v>
      </c>
      <c r="AC5" s="170" t="s">
        <v>121</v>
      </c>
      <c r="AD5" s="356"/>
      <c r="AE5" s="345"/>
      <c r="AF5" s="356"/>
      <c r="AG5" s="345"/>
      <c r="AH5" s="345"/>
      <c r="AI5" s="169" t="s">
        <v>21</v>
      </c>
      <c r="AJ5" s="169" t="s">
        <v>22</v>
      </c>
      <c r="AK5" s="170" t="s">
        <v>118</v>
      </c>
      <c r="AL5" s="170" t="s">
        <v>210</v>
      </c>
      <c r="AM5" s="170" t="s">
        <v>211</v>
      </c>
      <c r="AN5" s="170" t="s">
        <v>119</v>
      </c>
      <c r="AO5" s="170" t="s">
        <v>120</v>
      </c>
      <c r="AP5" s="170" t="s">
        <v>122</v>
      </c>
      <c r="AQ5" s="170" t="s">
        <v>121</v>
      </c>
    </row>
    <row r="6" spans="1:44" ht="34.5" customHeight="1" x14ac:dyDescent="0.35">
      <c r="A6" s="335" t="s">
        <v>126</v>
      </c>
      <c r="B6" s="336"/>
      <c r="C6" s="336"/>
      <c r="D6" s="336"/>
      <c r="E6" s="336"/>
      <c r="F6" s="336"/>
      <c r="G6" s="337"/>
      <c r="H6" s="35">
        <f>SUM(H9,H28,H29,H30,H31,H32,H33)</f>
        <v>7575880</v>
      </c>
      <c r="I6" s="35"/>
      <c r="J6" s="35">
        <f t="shared" ref="J6:S6" si="0">SUM(J9,J28,J29,J30,J31,J32,J33)</f>
        <v>9086223</v>
      </c>
      <c r="K6" s="35">
        <f t="shared" si="0"/>
        <v>8838271.4000000004</v>
      </c>
      <c r="L6" s="35">
        <f t="shared" si="0"/>
        <v>9200000</v>
      </c>
      <c r="M6" s="35">
        <f t="shared" si="0"/>
        <v>9244134.879999999</v>
      </c>
      <c r="N6" s="35">
        <f t="shared" si="0"/>
        <v>9003000</v>
      </c>
      <c r="O6" s="35" t="e">
        <f t="shared" si="0"/>
        <v>#DIV/0!</v>
      </c>
      <c r="P6" s="35">
        <f t="shared" si="0"/>
        <v>-197000</v>
      </c>
      <c r="Q6" s="35">
        <f t="shared" si="0"/>
        <v>41917.58</v>
      </c>
      <c r="R6" s="35">
        <f t="shared" si="0"/>
        <v>9002600</v>
      </c>
      <c r="S6" s="35">
        <f t="shared" si="0"/>
        <v>15087000</v>
      </c>
      <c r="T6" s="36">
        <f>S6/N6*1-1</f>
        <v>0.6757747417527491</v>
      </c>
      <c r="U6" s="35">
        <f>S6-N6</f>
        <v>6084000</v>
      </c>
      <c r="V6" s="35">
        <f>SUM(V9:V33)</f>
        <v>153900</v>
      </c>
      <c r="W6" s="35">
        <f>SUM(W9:W33)</f>
        <v>153900</v>
      </c>
      <c r="Y6" s="35">
        <f t="shared" ref="Y6:AF6" si="1">SUM(Y9,Y28,Y29,Y30,Y31,Y32,Y33)</f>
        <v>15087000</v>
      </c>
      <c r="Z6" s="35">
        <f t="shared" si="1"/>
        <v>0</v>
      </c>
      <c r="AA6" s="35">
        <f t="shared" si="1"/>
        <v>0</v>
      </c>
      <c r="AB6" s="35">
        <f t="shared" si="1"/>
        <v>0</v>
      </c>
      <c r="AC6" s="35">
        <f t="shared" si="1"/>
        <v>0</v>
      </c>
      <c r="AD6" s="35">
        <f t="shared" si="1"/>
        <v>15321000</v>
      </c>
      <c r="AE6" s="35">
        <f t="shared" si="1"/>
        <v>15438000</v>
      </c>
      <c r="AF6" s="35">
        <f t="shared" si="1"/>
        <v>16070000</v>
      </c>
      <c r="AG6" s="35">
        <f>SUM(AG9,AG28,AG29,AG30,AG31,AG32,AG33,AG47)</f>
        <v>231560</v>
      </c>
      <c r="AH6" s="35">
        <f>SUM(AH9,AH28,AH29,AH30,AH31,AH32,AH33,AH47)</f>
        <v>15175000</v>
      </c>
      <c r="AI6" s="36">
        <f>AH6/AF6*1-1</f>
        <v>-5.569383945239581E-2</v>
      </c>
      <c r="AJ6" s="35">
        <f>AH6-AF6</f>
        <v>-895000</v>
      </c>
      <c r="AK6" s="35">
        <f>SUM(AK9,AK28,AK29,AK30,AK31,AK32,AK33)</f>
        <v>13537070</v>
      </c>
      <c r="AL6" s="35">
        <f t="shared" ref="AL6:AM6" si="2">SUM(AL9,AL28,AL29,AL30,AL31,AL32,AL33)</f>
        <v>2176930</v>
      </c>
      <c r="AM6" s="35">
        <f t="shared" si="2"/>
        <v>0</v>
      </c>
      <c r="AN6" s="35">
        <f>SUM(AN9,AN28,AN29,AN30,AN31,AN32,AN33)</f>
        <v>0</v>
      </c>
      <c r="AO6" s="35">
        <f>SUM(AO9,AO28,AO29,AO30,AO31,AO32,AO33)</f>
        <v>0</v>
      </c>
      <c r="AP6" s="35">
        <f>SUM(AP9,AP28,AP29,AP30,AP31,AP32,AP33)</f>
        <v>0</v>
      </c>
      <c r="AQ6" s="35">
        <f>SUM(AQ9,AQ28,AQ29,AQ30,AQ31,AQ32,AQ33)</f>
        <v>0</v>
      </c>
    </row>
    <row r="7" spans="1:44" ht="24" customHeight="1" x14ac:dyDescent="0.35">
      <c r="A7" s="338" t="s">
        <v>1</v>
      </c>
      <c r="B7" s="338"/>
      <c r="C7" s="338"/>
      <c r="D7" s="338"/>
      <c r="E7" s="338"/>
      <c r="F7" s="338"/>
      <c r="G7" s="338"/>
      <c r="H7" s="8">
        <v>67.78</v>
      </c>
      <c r="I7" s="8"/>
      <c r="J7" s="8">
        <v>72.8</v>
      </c>
      <c r="K7" s="8"/>
      <c r="L7" s="8">
        <v>75.489999999999995</v>
      </c>
      <c r="M7" s="8"/>
      <c r="N7" s="8">
        <v>78.17</v>
      </c>
      <c r="O7" s="3"/>
      <c r="P7" s="3"/>
      <c r="Q7" s="3"/>
      <c r="R7" s="8">
        <v>78.17</v>
      </c>
      <c r="S7" s="138" t="s">
        <v>237</v>
      </c>
      <c r="T7" s="3"/>
      <c r="U7" s="3"/>
      <c r="V7" s="8">
        <v>78.17</v>
      </c>
      <c r="W7" s="8">
        <v>78.17</v>
      </c>
      <c r="Y7" s="8" t="s">
        <v>88</v>
      </c>
      <c r="Z7" s="8"/>
      <c r="AA7" s="8"/>
      <c r="AB7" s="8"/>
      <c r="AC7" s="8"/>
      <c r="AD7" s="97" t="s">
        <v>154</v>
      </c>
      <c r="AE7" s="163" t="s">
        <v>238</v>
      </c>
      <c r="AF7" s="164" t="s">
        <v>212</v>
      </c>
      <c r="AG7" s="164"/>
      <c r="AH7" s="164" t="s">
        <v>247</v>
      </c>
      <c r="AI7" s="165"/>
      <c r="AJ7" s="165"/>
      <c r="AK7" s="8"/>
      <c r="AL7" s="8"/>
      <c r="AM7" s="8"/>
      <c r="AN7" s="8"/>
      <c r="AO7" s="8"/>
      <c r="AP7" s="8"/>
      <c r="AQ7" s="8"/>
      <c r="AR7" s="164" t="s">
        <v>235</v>
      </c>
    </row>
    <row r="8" spans="1:44" x14ac:dyDescent="0.35">
      <c r="A8" s="168"/>
      <c r="B8" s="168"/>
      <c r="C8" s="168"/>
      <c r="D8" s="168"/>
      <c r="E8" s="168"/>
      <c r="F8" s="168"/>
      <c r="G8" s="168" t="s">
        <v>158</v>
      </c>
      <c r="H8" s="8"/>
      <c r="I8" s="8"/>
      <c r="J8" s="8"/>
      <c r="K8" s="8"/>
      <c r="L8" s="8"/>
      <c r="M8" s="8"/>
      <c r="N8" s="8">
        <v>0.99099999999999999</v>
      </c>
      <c r="O8" s="3"/>
      <c r="P8" s="3"/>
      <c r="Q8" s="3"/>
      <c r="R8" s="8"/>
      <c r="S8" s="97">
        <v>0.99099999999999999</v>
      </c>
      <c r="T8" s="3"/>
      <c r="U8" s="3"/>
      <c r="V8" s="8"/>
      <c r="W8" s="8"/>
      <c r="Y8" s="8"/>
      <c r="Z8" s="8"/>
      <c r="AA8" s="8"/>
      <c r="AB8" s="8"/>
      <c r="AC8" s="8"/>
      <c r="AD8" s="8">
        <v>0.98799999999999999</v>
      </c>
      <c r="AE8" s="97">
        <v>0.99299999999999999</v>
      </c>
      <c r="AF8" s="97">
        <v>0.92149999999999999</v>
      </c>
      <c r="AG8" s="97"/>
      <c r="AH8" s="190">
        <v>0.874</v>
      </c>
      <c r="AI8" s="3"/>
      <c r="AJ8" s="3"/>
      <c r="AK8" s="8"/>
      <c r="AL8" s="8"/>
      <c r="AM8" s="8"/>
      <c r="AN8" s="8"/>
      <c r="AO8" s="8"/>
      <c r="AP8" s="8"/>
      <c r="AQ8" s="8"/>
      <c r="AR8" s="97">
        <v>0.87090000000000001</v>
      </c>
    </row>
    <row r="9" spans="1:44" ht="30" customHeight="1" x14ac:dyDescent="0.35">
      <c r="A9" s="8" t="s">
        <v>5</v>
      </c>
      <c r="B9" s="8"/>
      <c r="C9" s="8"/>
      <c r="D9" s="8"/>
      <c r="E9" s="8"/>
      <c r="F9" s="8"/>
      <c r="G9" s="10" t="s">
        <v>90</v>
      </c>
      <c r="H9" s="9">
        <f>SUM(H10:H13)</f>
        <v>7423830</v>
      </c>
      <c r="I9" s="9"/>
      <c r="J9" s="9">
        <f t="shared" ref="J9:S9" si="3">SUM(J10:J13)</f>
        <v>8927221</v>
      </c>
      <c r="K9" s="9">
        <f t="shared" si="3"/>
        <v>8739083.7699999996</v>
      </c>
      <c r="L9" s="9">
        <f t="shared" si="3"/>
        <v>9054000</v>
      </c>
      <c r="M9" s="9">
        <f t="shared" si="3"/>
        <v>9016298.6799999997</v>
      </c>
      <c r="N9" s="9">
        <f t="shared" si="3"/>
        <v>8833000</v>
      </c>
      <c r="O9" s="9">
        <f t="shared" si="3"/>
        <v>9.8956472247655469E-2</v>
      </c>
      <c r="P9" s="9">
        <f t="shared" si="3"/>
        <v>-221000</v>
      </c>
      <c r="Q9" s="9">
        <f t="shared" si="3"/>
        <v>0</v>
      </c>
      <c r="R9" s="9">
        <f t="shared" si="3"/>
        <v>8833000</v>
      </c>
      <c r="S9" s="9">
        <f t="shared" si="3"/>
        <v>14916000</v>
      </c>
      <c r="T9" s="11">
        <f>S9/N9*1-1</f>
        <v>0.68866749688667506</v>
      </c>
      <c r="U9" s="9">
        <f>S9-N9</f>
        <v>6083000</v>
      </c>
      <c r="V9" s="8"/>
      <c r="W9" s="8"/>
      <c r="Y9" s="9">
        <f t="shared" ref="Y9:AE9" si="4">SUM(Y10:Y13)</f>
        <v>14916000</v>
      </c>
      <c r="Z9" s="9">
        <f t="shared" si="4"/>
        <v>0</v>
      </c>
      <c r="AA9" s="9">
        <f t="shared" si="4"/>
        <v>0</v>
      </c>
      <c r="AB9" s="9">
        <f t="shared" si="4"/>
        <v>0</v>
      </c>
      <c r="AC9" s="9">
        <f t="shared" si="4"/>
        <v>0</v>
      </c>
      <c r="AD9" s="9">
        <f t="shared" si="4"/>
        <v>15153000</v>
      </c>
      <c r="AE9" s="9">
        <f t="shared" si="4"/>
        <v>15270000</v>
      </c>
      <c r="AF9" s="9">
        <f>SUM(AF10,AF11,AF13,AF27)</f>
        <v>15814000</v>
      </c>
      <c r="AG9" s="9">
        <f>SUM(AG10,AG11,AG13,AG27)</f>
        <v>0</v>
      </c>
      <c r="AH9" s="9">
        <f>SUM(AH12,AH10,AH11,AH13,AH27)</f>
        <v>14949000</v>
      </c>
      <c r="AI9" s="11">
        <f>AH9/AF9*1-1</f>
        <v>-5.4698368534210173E-2</v>
      </c>
      <c r="AJ9" s="9">
        <f>AH9-AF9</f>
        <v>-865000</v>
      </c>
      <c r="AK9" s="9">
        <f>SUM(AK10,AK11,AK13,AK27)</f>
        <v>13311070</v>
      </c>
      <c r="AL9" s="9">
        <f>SUM(AL10,AL11,AL13,AL27)</f>
        <v>2176930</v>
      </c>
      <c r="AM9" s="9"/>
      <c r="AN9" s="9">
        <f>SUM(AN10:AN13)</f>
        <v>0</v>
      </c>
      <c r="AO9" s="9">
        <f>SUM(AO10:AO13)</f>
        <v>0</v>
      </c>
      <c r="AP9" s="9">
        <f>SUM(AP10:AP13)</f>
        <v>0</v>
      </c>
      <c r="AQ9" s="9">
        <f>SUM(AQ10:AQ13)</f>
        <v>0</v>
      </c>
    </row>
    <row r="10" spans="1:44" ht="30" customHeight="1" x14ac:dyDescent="0.35">
      <c r="A10" s="8"/>
      <c r="B10" s="8"/>
      <c r="C10" s="8"/>
      <c r="D10" s="8"/>
      <c r="E10" s="8"/>
      <c r="F10" s="8"/>
      <c r="G10" s="159" t="s">
        <v>91</v>
      </c>
      <c r="H10" s="160">
        <v>6738879</v>
      </c>
      <c r="I10" s="160"/>
      <c r="J10" s="160">
        <v>8101251</v>
      </c>
      <c r="K10" s="160">
        <v>7826949.3700000001</v>
      </c>
      <c r="L10" s="160">
        <v>8050000</v>
      </c>
      <c r="M10" s="160">
        <v>7946231.2400000002</v>
      </c>
      <c r="N10" s="160">
        <v>7684000</v>
      </c>
      <c r="O10" s="161">
        <f>N10/L10*1-1</f>
        <v>-4.5465838509316736E-2</v>
      </c>
      <c r="P10" s="160">
        <f>N10-L10</f>
        <v>-366000</v>
      </c>
      <c r="Q10" s="160"/>
      <c r="R10" s="160">
        <v>7684000</v>
      </c>
      <c r="S10" s="160">
        <v>11037000</v>
      </c>
      <c r="T10" s="161">
        <f>S10/N10*1-1</f>
        <v>0.43636127017178561</v>
      </c>
      <c r="U10" s="160">
        <f>S10-N10</f>
        <v>3353000</v>
      </c>
      <c r="V10" s="160"/>
      <c r="W10" s="160"/>
      <c r="X10" s="110"/>
      <c r="Y10" s="160">
        <v>11037000</v>
      </c>
      <c r="Z10" s="160"/>
      <c r="AA10" s="160"/>
      <c r="AB10" s="160"/>
      <c r="AC10" s="160"/>
      <c r="AD10" s="160">
        <v>9826000</v>
      </c>
      <c r="AE10" s="160">
        <v>9833000</v>
      </c>
      <c r="AF10" s="162">
        <v>10007000</v>
      </c>
      <c r="AG10" s="162"/>
      <c r="AH10" s="162">
        <v>9122000</v>
      </c>
      <c r="AI10" s="161">
        <f>AH10/AF10*1-1</f>
        <v>-8.8438093334665679E-2</v>
      </c>
      <c r="AJ10" s="160">
        <f>AH10-AF10</f>
        <v>-885000</v>
      </c>
      <c r="AK10" s="8">
        <f>AF10-AL10</f>
        <v>7830070</v>
      </c>
      <c r="AL10" s="8">
        <v>2176930</v>
      </c>
      <c r="AM10" s="8"/>
      <c r="AN10" s="8"/>
      <c r="AO10" s="8"/>
      <c r="AP10" s="8"/>
      <c r="AQ10" s="8"/>
      <c r="AR10" s="181">
        <v>8890000</v>
      </c>
    </row>
    <row r="11" spans="1:44" ht="27.75" customHeight="1" x14ac:dyDescent="0.35">
      <c r="A11" s="8"/>
      <c r="B11" s="8"/>
      <c r="C11" s="8"/>
      <c r="D11" s="8"/>
      <c r="E11" s="8"/>
      <c r="F11" s="8"/>
      <c r="G11" s="28" t="s">
        <v>127</v>
      </c>
      <c r="H11" s="8">
        <v>684951</v>
      </c>
      <c r="I11" s="8"/>
      <c r="J11" s="8">
        <v>825970</v>
      </c>
      <c r="K11" s="8">
        <v>902776.4</v>
      </c>
      <c r="L11" s="8">
        <v>1004000</v>
      </c>
      <c r="M11" s="8">
        <v>1070067.44</v>
      </c>
      <c r="N11" s="8">
        <v>1149000</v>
      </c>
      <c r="O11" s="37">
        <f>N11/L11*1-1</f>
        <v>0.14442231075697221</v>
      </c>
      <c r="P11" s="8">
        <f>N11-L11</f>
        <v>145000</v>
      </c>
      <c r="Q11" s="8"/>
      <c r="R11" s="65">
        <v>1149000</v>
      </c>
      <c r="S11" s="8">
        <v>966000</v>
      </c>
      <c r="T11" s="37">
        <f>S11/N11*1-1</f>
        <v>-0.15926892950391647</v>
      </c>
      <c r="U11" s="8">
        <f>S11-N11</f>
        <v>-183000</v>
      </c>
      <c r="V11" s="8"/>
      <c r="W11" s="8"/>
      <c r="Y11" s="8">
        <v>966000</v>
      </c>
      <c r="Z11" s="8"/>
      <c r="AA11" s="8"/>
      <c r="AB11" s="8"/>
      <c r="AC11" s="8"/>
      <c r="AD11" s="65">
        <v>1039000</v>
      </c>
      <c r="AE11" s="8">
        <v>1039000</v>
      </c>
      <c r="AF11" s="141">
        <v>892000</v>
      </c>
      <c r="AG11" s="141"/>
      <c r="AH11" s="141">
        <v>746000</v>
      </c>
      <c r="AI11" s="37">
        <f>AH11/AF11*1-1</f>
        <v>-0.16367713004484308</v>
      </c>
      <c r="AJ11" s="8">
        <f>AH11-AF11</f>
        <v>-146000</v>
      </c>
      <c r="AK11" s="8">
        <f>SUM(AF11)</f>
        <v>892000</v>
      </c>
      <c r="AL11" s="8"/>
      <c r="AM11" s="8"/>
      <c r="AN11" s="8"/>
      <c r="AO11" s="8"/>
      <c r="AP11" s="8"/>
      <c r="AQ11" s="8"/>
      <c r="AR11" s="181">
        <v>727000</v>
      </c>
    </row>
    <row r="12" spans="1:44" ht="27.75" customHeight="1" x14ac:dyDescent="0.35">
      <c r="A12" s="8"/>
      <c r="B12" s="8"/>
      <c r="C12" s="8"/>
      <c r="D12" s="8"/>
      <c r="E12" s="8"/>
      <c r="F12" s="8"/>
      <c r="G12" s="28" t="s">
        <v>92</v>
      </c>
      <c r="H12" s="8"/>
      <c r="I12" s="8"/>
      <c r="J12" s="8"/>
      <c r="K12" s="8">
        <v>9358</v>
      </c>
      <c r="L12" s="8"/>
      <c r="M12" s="8"/>
      <c r="N12" s="8"/>
      <c r="O12" s="37"/>
      <c r="P12" s="8"/>
      <c r="Q12" s="8"/>
      <c r="R12" s="65"/>
      <c r="S12" s="8"/>
      <c r="T12" s="37"/>
      <c r="U12" s="8"/>
      <c r="V12" s="8"/>
      <c r="W12" s="8"/>
      <c r="Y12" s="8"/>
      <c r="Z12" s="8"/>
      <c r="AA12" s="8"/>
      <c r="AB12" s="8"/>
      <c r="AC12" s="8"/>
      <c r="AD12" s="65"/>
      <c r="AE12" s="8"/>
      <c r="AF12" s="8"/>
      <c r="AG12" s="8"/>
      <c r="AH12" s="8">
        <v>492000</v>
      </c>
      <c r="AI12" s="37"/>
      <c r="AJ12" s="8">
        <f>AH12-AF12</f>
        <v>492000</v>
      </c>
      <c r="AK12" s="8">
        <f>SUM(AF12)</f>
        <v>0</v>
      </c>
      <c r="AL12" s="8"/>
      <c r="AM12" s="8"/>
      <c r="AN12" s="8"/>
      <c r="AO12" s="8"/>
      <c r="AP12" s="8"/>
      <c r="AQ12" s="8"/>
      <c r="AR12" s="181">
        <v>480000</v>
      </c>
    </row>
    <row r="13" spans="1:44" ht="30" customHeight="1" x14ac:dyDescent="0.35">
      <c r="A13" s="8"/>
      <c r="B13" s="8"/>
      <c r="C13" s="8"/>
      <c r="D13" s="8"/>
      <c r="E13" s="8"/>
      <c r="F13" s="8"/>
      <c r="G13" s="71" t="s">
        <v>220</v>
      </c>
      <c r="H13" s="60"/>
      <c r="I13" s="60"/>
      <c r="J13" s="60"/>
      <c r="K13" s="60"/>
      <c r="L13" s="60"/>
      <c r="M13" s="60"/>
      <c r="N13" s="60"/>
      <c r="O13" s="61"/>
      <c r="P13" s="60"/>
      <c r="Q13" s="60"/>
      <c r="R13" s="72"/>
      <c r="S13" s="60">
        <f>SUM(S14:S26)</f>
        <v>2913000</v>
      </c>
      <c r="T13" s="61"/>
      <c r="U13" s="60"/>
      <c r="V13" s="8"/>
      <c r="W13" s="8"/>
      <c r="Y13" s="60">
        <f t="shared" ref="Y13:AH13" si="5">SUM(Y14:Y26)</f>
        <v>2913000</v>
      </c>
      <c r="Z13" s="60">
        <f t="shared" si="5"/>
        <v>0</v>
      </c>
      <c r="AA13" s="60">
        <f t="shared" si="5"/>
        <v>0</v>
      </c>
      <c r="AB13" s="60">
        <f t="shared" si="5"/>
        <v>0</v>
      </c>
      <c r="AC13" s="60">
        <f t="shared" si="5"/>
        <v>0</v>
      </c>
      <c r="AD13" s="60">
        <f t="shared" si="5"/>
        <v>4288000</v>
      </c>
      <c r="AE13" s="60">
        <f t="shared" si="5"/>
        <v>4398000</v>
      </c>
      <c r="AF13" s="60">
        <f t="shared" si="5"/>
        <v>4800000</v>
      </c>
      <c r="AG13" s="60"/>
      <c r="AH13" s="60">
        <f t="shared" si="5"/>
        <v>4589000</v>
      </c>
      <c r="AI13" s="83">
        <f>AH13/AF13*1-1</f>
        <v>-4.3958333333333321E-2</v>
      </c>
      <c r="AJ13" s="82">
        <f>AH13-AF13</f>
        <v>-211000</v>
      </c>
      <c r="AK13" s="60">
        <f>SUM(AK14:AK26)</f>
        <v>4589000</v>
      </c>
      <c r="AL13" s="60"/>
      <c r="AM13" s="60"/>
      <c r="AN13" s="60">
        <f>SUM(AN14:AN26)</f>
        <v>0</v>
      </c>
      <c r="AO13" s="60">
        <f>SUM(AO14:AO26)</f>
        <v>0</v>
      </c>
      <c r="AP13" s="60">
        <f>SUM(AP14:AP26)</f>
        <v>0</v>
      </c>
      <c r="AQ13" s="60">
        <f>SUM(AQ14:AQ26)</f>
        <v>0</v>
      </c>
    </row>
    <row r="14" spans="1:44" ht="15.65" customHeight="1" x14ac:dyDescent="0.35">
      <c r="A14" s="8"/>
      <c r="B14" s="8"/>
      <c r="C14" s="8"/>
      <c r="D14" s="8"/>
      <c r="E14" s="8"/>
      <c r="F14" s="8"/>
      <c r="G14" s="73" t="s">
        <v>89</v>
      </c>
      <c r="H14" s="74"/>
      <c r="I14" s="74"/>
      <c r="J14" s="74"/>
      <c r="K14" s="74"/>
      <c r="L14" s="74"/>
      <c r="M14" s="74"/>
      <c r="N14" s="74"/>
      <c r="O14" s="75"/>
      <c r="P14" s="74"/>
      <c r="Q14" s="74"/>
      <c r="R14" s="76"/>
      <c r="S14" s="63">
        <v>2437000</v>
      </c>
      <c r="T14" s="75"/>
      <c r="U14" s="74"/>
      <c r="V14" s="8"/>
      <c r="W14" s="8"/>
      <c r="Y14" s="63">
        <v>2437000</v>
      </c>
      <c r="Z14" s="63"/>
      <c r="AA14" s="63"/>
      <c r="AB14" s="63"/>
      <c r="AC14" s="63"/>
      <c r="AD14" s="76"/>
      <c r="AE14" s="63"/>
      <c r="AF14" s="63"/>
      <c r="AG14" s="63"/>
      <c r="AH14" s="63"/>
      <c r="AI14" s="75"/>
      <c r="AJ14" s="74"/>
      <c r="AK14" s="63"/>
      <c r="AL14" s="63"/>
      <c r="AM14" s="63"/>
      <c r="AN14" s="63"/>
      <c r="AO14" s="63"/>
      <c r="AP14" s="63"/>
      <c r="AQ14" s="63"/>
    </row>
    <row r="15" spans="1:44" ht="15.65" customHeight="1" x14ac:dyDescent="0.35">
      <c r="A15" s="8"/>
      <c r="B15" s="8"/>
      <c r="C15" s="8"/>
      <c r="D15" s="8"/>
      <c r="E15" s="8"/>
      <c r="F15" s="8"/>
      <c r="G15" s="73" t="s">
        <v>156</v>
      </c>
      <c r="H15" s="74"/>
      <c r="I15" s="74"/>
      <c r="J15" s="74"/>
      <c r="K15" s="74"/>
      <c r="L15" s="74"/>
      <c r="M15" s="74"/>
      <c r="N15" s="74"/>
      <c r="O15" s="75"/>
      <c r="P15" s="74"/>
      <c r="Q15" s="74"/>
      <c r="R15" s="76"/>
      <c r="S15" s="63"/>
      <c r="T15" s="75"/>
      <c r="U15" s="74"/>
      <c r="V15" s="8"/>
      <c r="W15" s="8"/>
      <c r="Y15" s="63"/>
      <c r="Z15" s="63"/>
      <c r="AA15" s="63"/>
      <c r="AB15" s="63"/>
      <c r="AC15" s="63"/>
      <c r="AD15" s="76">
        <v>1027000</v>
      </c>
      <c r="AE15" s="63">
        <v>1134000</v>
      </c>
      <c r="AF15" s="63">
        <v>1019000</v>
      </c>
      <c r="AG15" s="63"/>
      <c r="AH15" s="63">
        <v>477000</v>
      </c>
      <c r="AI15" s="75"/>
      <c r="AJ15" s="74"/>
      <c r="AK15" s="74">
        <f>SUM(AH15)</f>
        <v>477000</v>
      </c>
      <c r="AL15" s="63"/>
      <c r="AM15" s="63"/>
      <c r="AN15" s="63"/>
      <c r="AO15" s="63"/>
      <c r="AP15" s="63"/>
      <c r="AQ15" s="63"/>
      <c r="AR15" s="181">
        <v>0</v>
      </c>
    </row>
    <row r="16" spans="1:44" ht="33" customHeight="1" x14ac:dyDescent="0.35">
      <c r="A16" s="8"/>
      <c r="B16" s="8"/>
      <c r="C16" s="8"/>
      <c r="D16" s="8"/>
      <c r="E16" s="8"/>
      <c r="F16" s="8"/>
      <c r="G16" s="77" t="s">
        <v>222</v>
      </c>
      <c r="H16" s="74"/>
      <c r="I16" s="74"/>
      <c r="J16" s="74"/>
      <c r="K16" s="74"/>
      <c r="L16" s="74"/>
      <c r="M16" s="74"/>
      <c r="N16" s="74"/>
      <c r="O16" s="75"/>
      <c r="P16" s="74"/>
      <c r="Q16" s="74"/>
      <c r="R16" s="76"/>
      <c r="S16" s="63">
        <v>29000</v>
      </c>
      <c r="T16" s="75"/>
      <c r="U16" s="74"/>
      <c r="V16" s="8"/>
      <c r="W16" s="8"/>
      <c r="Y16" s="63">
        <v>29000</v>
      </c>
      <c r="Z16" s="63"/>
      <c r="AA16" s="63"/>
      <c r="AB16" s="63"/>
      <c r="AC16" s="63"/>
      <c r="AD16" s="76"/>
      <c r="AE16" s="63"/>
      <c r="AF16" s="63"/>
      <c r="AG16" s="63"/>
      <c r="AH16" s="63"/>
      <c r="AI16" s="75"/>
      <c r="AJ16" s="74"/>
      <c r="AK16" s="74">
        <f t="shared" ref="AK16:AK27" si="6">SUM(AH16)</f>
        <v>0</v>
      </c>
      <c r="AL16" s="63"/>
      <c r="AM16" s="63"/>
      <c r="AN16" s="63"/>
      <c r="AO16" s="63"/>
      <c r="AP16" s="63"/>
      <c r="AQ16" s="63"/>
    </row>
    <row r="17" spans="1:43" ht="23.5" customHeight="1" x14ac:dyDescent="0.35">
      <c r="A17" s="8"/>
      <c r="B17" s="8"/>
      <c r="C17" s="8"/>
      <c r="D17" s="8"/>
      <c r="E17" s="8"/>
      <c r="F17" s="8"/>
      <c r="G17" s="78" t="s">
        <v>155</v>
      </c>
      <c r="H17" s="74"/>
      <c r="I17" s="74"/>
      <c r="J17" s="74"/>
      <c r="K17" s="74"/>
      <c r="L17" s="74"/>
      <c r="M17" s="74"/>
      <c r="N17" s="74"/>
      <c r="O17" s="75"/>
      <c r="P17" s="74"/>
      <c r="Q17" s="74"/>
      <c r="R17" s="76"/>
      <c r="S17" s="63"/>
      <c r="T17" s="75"/>
      <c r="U17" s="74"/>
      <c r="V17" s="8"/>
      <c r="W17" s="8"/>
      <c r="Y17" s="63"/>
      <c r="Z17" s="63"/>
      <c r="AA17" s="63"/>
      <c r="AB17" s="63"/>
      <c r="AC17" s="63"/>
      <c r="AD17" s="76">
        <v>-13000</v>
      </c>
      <c r="AE17" s="63">
        <v>-13000</v>
      </c>
      <c r="AF17" s="63"/>
      <c r="AG17" s="63"/>
      <c r="AH17" s="63"/>
      <c r="AI17" s="75"/>
      <c r="AJ17" s="74"/>
      <c r="AK17" s="74">
        <f t="shared" si="6"/>
        <v>0</v>
      </c>
      <c r="AL17" s="63"/>
      <c r="AM17" s="63"/>
      <c r="AN17" s="63"/>
      <c r="AO17" s="63"/>
      <c r="AP17" s="63"/>
      <c r="AQ17" s="63"/>
    </row>
    <row r="18" spans="1:43" ht="27.75" customHeight="1" x14ac:dyDescent="0.35">
      <c r="A18" s="8"/>
      <c r="B18" s="8"/>
      <c r="C18" s="8"/>
      <c r="D18" s="8"/>
      <c r="E18" s="8"/>
      <c r="F18" s="8"/>
      <c r="G18" s="139" t="s">
        <v>83</v>
      </c>
      <c r="H18" s="74"/>
      <c r="I18" s="74"/>
      <c r="J18" s="74"/>
      <c r="K18" s="74"/>
      <c r="L18" s="74"/>
      <c r="M18" s="74"/>
      <c r="N18" s="74"/>
      <c r="O18" s="75"/>
      <c r="P18" s="74"/>
      <c r="Q18" s="74"/>
      <c r="R18" s="76"/>
      <c r="S18" s="63">
        <v>220000</v>
      </c>
      <c r="T18" s="75"/>
      <c r="U18" s="74"/>
      <c r="V18" s="8"/>
      <c r="W18" s="8"/>
      <c r="Y18" s="63">
        <v>220000</v>
      </c>
      <c r="Z18" s="63"/>
      <c r="AA18" s="63"/>
      <c r="AB18" s="63"/>
      <c r="AC18" s="63"/>
      <c r="AD18" s="76">
        <v>109000</v>
      </c>
      <c r="AE18" s="63">
        <v>109000</v>
      </c>
      <c r="AF18" s="135">
        <v>109000</v>
      </c>
      <c r="AG18" s="135"/>
      <c r="AH18" s="157">
        <v>109000</v>
      </c>
      <c r="AI18" s="75"/>
      <c r="AJ18" s="74"/>
      <c r="AK18" s="74">
        <f t="shared" si="6"/>
        <v>109000</v>
      </c>
      <c r="AL18" s="63"/>
      <c r="AM18" s="63"/>
      <c r="AN18" s="63"/>
      <c r="AO18" s="63"/>
      <c r="AP18" s="63"/>
      <c r="AQ18" s="63"/>
    </row>
    <row r="19" spans="1:43" ht="18" customHeight="1" x14ac:dyDescent="0.35">
      <c r="A19" s="8"/>
      <c r="B19" s="8"/>
      <c r="C19" s="8"/>
      <c r="D19" s="8"/>
      <c r="E19" s="8"/>
      <c r="F19" s="8"/>
      <c r="G19" s="139" t="s">
        <v>84</v>
      </c>
      <c r="H19" s="74"/>
      <c r="I19" s="74"/>
      <c r="J19" s="74"/>
      <c r="K19" s="74"/>
      <c r="L19" s="74"/>
      <c r="M19" s="74"/>
      <c r="N19" s="74"/>
      <c r="O19" s="75"/>
      <c r="P19" s="74"/>
      <c r="Q19" s="74"/>
      <c r="R19" s="76"/>
      <c r="S19" s="63">
        <v>141000</v>
      </c>
      <c r="T19" s="75"/>
      <c r="U19" s="74"/>
      <c r="V19" s="8"/>
      <c r="W19" s="8"/>
      <c r="Y19" s="63">
        <v>141000</v>
      </c>
      <c r="Z19" s="63"/>
      <c r="AA19" s="63"/>
      <c r="AB19" s="63"/>
      <c r="AC19" s="63"/>
      <c r="AD19" s="76">
        <v>145000</v>
      </c>
      <c r="AE19" s="63">
        <v>145000</v>
      </c>
      <c r="AF19" s="135">
        <v>186000</v>
      </c>
      <c r="AG19" s="135"/>
      <c r="AH19" s="157">
        <v>122000</v>
      </c>
      <c r="AI19" s="75"/>
      <c r="AJ19" s="74"/>
      <c r="AK19" s="74">
        <f t="shared" si="6"/>
        <v>122000</v>
      </c>
      <c r="AL19" s="63"/>
      <c r="AM19" s="63"/>
      <c r="AN19" s="63"/>
      <c r="AO19" s="63"/>
      <c r="AP19" s="63"/>
      <c r="AQ19" s="63"/>
    </row>
    <row r="20" spans="1:43" ht="17.149999999999999" customHeight="1" x14ac:dyDescent="0.35">
      <c r="A20" s="8"/>
      <c r="B20" s="8"/>
      <c r="C20" s="8"/>
      <c r="D20" s="8"/>
      <c r="E20" s="8"/>
      <c r="F20" s="8"/>
      <c r="G20" s="139" t="s">
        <v>128</v>
      </c>
      <c r="H20" s="74"/>
      <c r="I20" s="74"/>
      <c r="J20" s="74"/>
      <c r="K20" s="74"/>
      <c r="L20" s="74"/>
      <c r="M20" s="74"/>
      <c r="N20" s="74"/>
      <c r="O20" s="75"/>
      <c r="P20" s="74"/>
      <c r="Q20" s="74"/>
      <c r="R20" s="76"/>
      <c r="S20" s="63">
        <v>86000</v>
      </c>
      <c r="T20" s="75"/>
      <c r="U20" s="74"/>
      <c r="V20" s="8"/>
      <c r="W20" s="8"/>
      <c r="Y20" s="63">
        <v>86000</v>
      </c>
      <c r="Z20" s="63"/>
      <c r="AA20" s="63"/>
      <c r="AB20" s="63"/>
      <c r="AC20" s="63"/>
      <c r="AD20" s="76">
        <v>91000</v>
      </c>
      <c r="AE20" s="63">
        <v>91000</v>
      </c>
      <c r="AF20" s="134">
        <v>121000</v>
      </c>
      <c r="AG20" s="134"/>
      <c r="AH20" s="158">
        <v>44000</v>
      </c>
      <c r="AI20" s="75"/>
      <c r="AJ20" s="74"/>
      <c r="AK20" s="74">
        <f t="shared" si="6"/>
        <v>44000</v>
      </c>
      <c r="AL20" s="63"/>
      <c r="AM20" s="63"/>
      <c r="AN20" s="63"/>
      <c r="AO20" s="63"/>
      <c r="AP20" s="63"/>
      <c r="AQ20" s="63"/>
    </row>
    <row r="21" spans="1:43" ht="17.149999999999999" customHeight="1" x14ac:dyDescent="0.35">
      <c r="A21" s="8"/>
      <c r="B21" s="8"/>
      <c r="C21" s="8"/>
      <c r="D21" s="8"/>
      <c r="E21" s="8"/>
      <c r="F21" s="8"/>
      <c r="G21" s="139" t="s">
        <v>157</v>
      </c>
      <c r="H21" s="74"/>
      <c r="I21" s="74"/>
      <c r="J21" s="74"/>
      <c r="K21" s="74"/>
      <c r="L21" s="74"/>
      <c r="M21" s="74"/>
      <c r="N21" s="74"/>
      <c r="O21" s="75"/>
      <c r="P21" s="74"/>
      <c r="Q21" s="74"/>
      <c r="R21" s="76"/>
      <c r="S21" s="63"/>
      <c r="T21" s="75"/>
      <c r="U21" s="74"/>
      <c r="V21" s="8"/>
      <c r="W21" s="8"/>
      <c r="Y21" s="63"/>
      <c r="Z21" s="63"/>
      <c r="AA21" s="63"/>
      <c r="AB21" s="63"/>
      <c r="AC21" s="63"/>
      <c r="AD21" s="76">
        <v>16000</v>
      </c>
      <c r="AE21" s="63">
        <v>19000</v>
      </c>
      <c r="AF21" s="63">
        <v>40000</v>
      </c>
      <c r="AG21" s="63"/>
      <c r="AH21" s="63"/>
      <c r="AI21" s="75"/>
      <c r="AJ21" s="74"/>
      <c r="AK21" s="74">
        <f t="shared" si="6"/>
        <v>0</v>
      </c>
      <c r="AL21" s="63"/>
      <c r="AM21" s="63"/>
      <c r="AN21" s="63"/>
      <c r="AO21" s="63"/>
      <c r="AP21" s="63"/>
      <c r="AQ21" s="63"/>
    </row>
    <row r="22" spans="1:43" ht="76" customHeight="1" x14ac:dyDescent="0.35">
      <c r="A22" s="8"/>
      <c r="B22" s="8"/>
      <c r="C22" s="8"/>
      <c r="D22" s="8"/>
      <c r="E22" s="8"/>
      <c r="F22" s="8"/>
      <c r="G22" s="78" t="s">
        <v>221</v>
      </c>
      <c r="H22" s="74"/>
      <c r="I22" s="74"/>
      <c r="J22" s="74"/>
      <c r="K22" s="74"/>
      <c r="L22" s="74"/>
      <c r="M22" s="74"/>
      <c r="N22" s="74"/>
      <c r="O22" s="75"/>
      <c r="P22" s="74"/>
      <c r="Q22" s="74"/>
      <c r="R22" s="76"/>
      <c r="S22" s="63"/>
      <c r="T22" s="75"/>
      <c r="U22" s="74"/>
      <c r="V22" s="8"/>
      <c r="W22" s="8"/>
      <c r="Y22" s="63"/>
      <c r="Z22" s="63"/>
      <c r="AA22" s="63"/>
      <c r="AB22" s="63"/>
      <c r="AC22" s="63"/>
      <c r="AD22" s="76"/>
      <c r="AE22" s="63"/>
      <c r="AF22" s="63">
        <v>-6000</v>
      </c>
      <c r="AG22" s="63"/>
      <c r="AH22" s="63"/>
      <c r="AI22" s="75"/>
      <c r="AJ22" s="74"/>
      <c r="AK22" s="74">
        <f t="shared" si="6"/>
        <v>0</v>
      </c>
      <c r="AL22" s="63"/>
      <c r="AM22" s="63"/>
      <c r="AN22" s="63"/>
      <c r="AO22" s="63"/>
      <c r="AP22" s="63"/>
      <c r="AQ22" s="63"/>
    </row>
    <row r="23" spans="1:43" ht="27" customHeight="1" x14ac:dyDescent="0.35">
      <c r="A23" s="8"/>
      <c r="B23" s="8"/>
      <c r="C23" s="8"/>
      <c r="D23" s="8"/>
      <c r="E23" s="8"/>
      <c r="F23" s="8"/>
      <c r="G23" s="78" t="s">
        <v>233</v>
      </c>
      <c r="H23" s="74"/>
      <c r="I23" s="74"/>
      <c r="J23" s="74"/>
      <c r="K23" s="74"/>
      <c r="L23" s="74"/>
      <c r="M23" s="74"/>
      <c r="N23" s="74"/>
      <c r="O23" s="75"/>
      <c r="P23" s="74"/>
      <c r="Q23" s="74"/>
      <c r="R23" s="76"/>
      <c r="S23" s="63"/>
      <c r="T23" s="75"/>
      <c r="U23" s="74"/>
      <c r="V23" s="8"/>
      <c r="W23" s="8"/>
      <c r="Y23" s="63"/>
      <c r="Z23" s="63"/>
      <c r="AA23" s="63"/>
      <c r="AB23" s="63"/>
      <c r="AC23" s="63"/>
      <c r="AD23" s="76"/>
      <c r="AE23" s="63"/>
      <c r="AF23" s="63"/>
      <c r="AG23" s="63"/>
      <c r="AH23" s="156">
        <v>79000</v>
      </c>
      <c r="AI23" s="75"/>
      <c r="AJ23" s="74"/>
      <c r="AK23" s="74">
        <f t="shared" si="6"/>
        <v>79000</v>
      </c>
      <c r="AL23" s="63"/>
      <c r="AM23" s="63"/>
      <c r="AN23" s="63"/>
      <c r="AO23" s="63"/>
      <c r="AP23" s="63"/>
      <c r="AQ23" s="63"/>
    </row>
    <row r="24" spans="1:43" ht="27" customHeight="1" x14ac:dyDescent="0.35">
      <c r="A24" s="8"/>
      <c r="B24" s="8"/>
      <c r="C24" s="8"/>
      <c r="D24" s="8"/>
      <c r="E24" s="8"/>
      <c r="F24" s="8"/>
      <c r="G24" s="139" t="s">
        <v>234</v>
      </c>
      <c r="H24" s="74"/>
      <c r="I24" s="74"/>
      <c r="J24" s="74"/>
      <c r="K24" s="74"/>
      <c r="L24" s="74"/>
      <c r="M24" s="74"/>
      <c r="N24" s="74"/>
      <c r="O24" s="75"/>
      <c r="P24" s="74"/>
      <c r="Q24" s="74"/>
      <c r="R24" s="76"/>
      <c r="S24" s="63"/>
      <c r="T24" s="75"/>
      <c r="U24" s="74"/>
      <c r="V24" s="8"/>
      <c r="W24" s="8"/>
      <c r="Y24" s="63"/>
      <c r="Z24" s="63"/>
      <c r="AA24" s="63"/>
      <c r="AB24" s="63"/>
      <c r="AC24" s="63"/>
      <c r="AD24" s="76"/>
      <c r="AE24" s="63"/>
      <c r="AF24" s="63"/>
      <c r="AG24" s="63"/>
      <c r="AH24" s="156">
        <v>6000</v>
      </c>
      <c r="AI24" s="75"/>
      <c r="AJ24" s="74"/>
      <c r="AK24" s="74">
        <f t="shared" si="6"/>
        <v>6000</v>
      </c>
      <c r="AL24" s="63"/>
      <c r="AM24" s="63"/>
      <c r="AN24" s="63"/>
      <c r="AO24" s="63"/>
      <c r="AP24" s="63"/>
      <c r="AQ24" s="63"/>
    </row>
    <row r="25" spans="1:43" ht="20.149999999999999" customHeight="1" x14ac:dyDescent="0.35">
      <c r="A25" s="8"/>
      <c r="B25" s="8"/>
      <c r="C25" s="8"/>
      <c r="D25" s="8"/>
      <c r="E25" s="8"/>
      <c r="F25" s="8"/>
      <c r="G25" s="139" t="s">
        <v>208</v>
      </c>
      <c r="H25" s="74"/>
      <c r="I25" s="74"/>
      <c r="J25" s="74"/>
      <c r="K25" s="74"/>
      <c r="L25" s="74"/>
      <c r="M25" s="74"/>
      <c r="N25" s="74"/>
      <c r="O25" s="75"/>
      <c r="P25" s="74"/>
      <c r="Q25" s="74"/>
      <c r="R25" s="76"/>
      <c r="S25" s="63"/>
      <c r="T25" s="75"/>
      <c r="U25" s="74"/>
      <c r="V25" s="8"/>
      <c r="W25" s="8"/>
      <c r="Y25" s="63"/>
      <c r="Z25" s="63"/>
      <c r="AA25" s="63"/>
      <c r="AB25" s="63"/>
      <c r="AC25" s="63"/>
      <c r="AD25" s="76"/>
      <c r="AE25" s="63"/>
      <c r="AF25" s="63">
        <v>67000</v>
      </c>
      <c r="AG25" s="63"/>
      <c r="AH25" s="63"/>
      <c r="AI25" s="75"/>
      <c r="AJ25" s="74"/>
      <c r="AK25" s="74">
        <f t="shared" si="6"/>
        <v>0</v>
      </c>
      <c r="AL25" s="63"/>
      <c r="AM25" s="63"/>
      <c r="AN25" s="63"/>
      <c r="AO25" s="63"/>
      <c r="AP25" s="63"/>
      <c r="AQ25" s="63"/>
    </row>
    <row r="26" spans="1:43" ht="31.4" customHeight="1" x14ac:dyDescent="0.35">
      <c r="A26" s="8"/>
      <c r="B26" s="8"/>
      <c r="C26" s="8"/>
      <c r="D26" s="8"/>
      <c r="E26" s="8"/>
      <c r="F26" s="8"/>
      <c r="G26" s="78" t="s">
        <v>205</v>
      </c>
      <c r="H26" s="74"/>
      <c r="I26" s="74"/>
      <c r="J26" s="74"/>
      <c r="K26" s="74"/>
      <c r="L26" s="74"/>
      <c r="M26" s="74"/>
      <c r="N26" s="74"/>
      <c r="O26" s="75"/>
      <c r="P26" s="74"/>
      <c r="Q26" s="74"/>
      <c r="R26" s="76"/>
      <c r="S26" s="63"/>
      <c r="T26" s="75"/>
      <c r="U26" s="74"/>
      <c r="V26" s="8"/>
      <c r="W26" s="8"/>
      <c r="Y26" s="63"/>
      <c r="Z26" s="63"/>
      <c r="AA26" s="63"/>
      <c r="AB26" s="63"/>
      <c r="AC26" s="63"/>
      <c r="AD26" s="76">
        <v>2913000</v>
      </c>
      <c r="AE26" s="63">
        <v>2913000</v>
      </c>
      <c r="AF26" s="63">
        <v>3264000</v>
      </c>
      <c r="AG26" s="63"/>
      <c r="AH26" s="63">
        <f>SUM(AF18:AF26)-S16</f>
        <v>3752000</v>
      </c>
      <c r="AI26" s="75"/>
      <c r="AJ26" s="74"/>
      <c r="AK26" s="74">
        <f t="shared" si="6"/>
        <v>3752000</v>
      </c>
      <c r="AL26" s="63"/>
      <c r="AM26" s="63"/>
      <c r="AN26" s="63"/>
      <c r="AO26" s="63"/>
      <c r="AP26" s="63"/>
      <c r="AQ26" s="63"/>
    </row>
    <row r="27" spans="1:43" ht="21" customHeight="1" x14ac:dyDescent="0.35">
      <c r="A27" s="8"/>
      <c r="B27" s="8"/>
      <c r="C27" s="8"/>
      <c r="D27" s="8"/>
      <c r="E27" s="8"/>
      <c r="F27" s="8"/>
      <c r="G27" s="133" t="s">
        <v>206</v>
      </c>
      <c r="H27" s="74"/>
      <c r="I27" s="74"/>
      <c r="J27" s="74"/>
      <c r="K27" s="74"/>
      <c r="L27" s="74"/>
      <c r="M27" s="74"/>
      <c r="N27" s="74"/>
      <c r="O27" s="75"/>
      <c r="P27" s="74"/>
      <c r="Q27" s="74"/>
      <c r="R27" s="76"/>
      <c r="S27" s="63"/>
      <c r="T27" s="75"/>
      <c r="U27" s="74"/>
      <c r="V27" s="8"/>
      <c r="W27" s="8"/>
      <c r="Y27" s="63"/>
      <c r="Z27" s="63"/>
      <c r="AA27" s="63"/>
      <c r="AB27" s="63"/>
      <c r="AC27" s="63"/>
      <c r="AD27" s="76"/>
      <c r="AE27" s="63"/>
      <c r="AF27" s="74">
        <v>115000</v>
      </c>
      <c r="AG27" s="74"/>
      <c r="AH27" s="74"/>
      <c r="AI27" s="75"/>
      <c r="AJ27" s="74"/>
      <c r="AK27" s="74">
        <f t="shared" si="6"/>
        <v>0</v>
      </c>
      <c r="AL27" s="63"/>
      <c r="AM27" s="63"/>
      <c r="AN27" s="63"/>
      <c r="AO27" s="63"/>
      <c r="AP27" s="63"/>
      <c r="AQ27" s="63"/>
    </row>
    <row r="28" spans="1:43" ht="21" customHeight="1" x14ac:dyDescent="0.35">
      <c r="A28" s="8"/>
      <c r="B28" s="8"/>
      <c r="C28" s="8"/>
      <c r="D28" s="8"/>
      <c r="E28" s="8"/>
      <c r="F28" s="8"/>
      <c r="G28" s="10" t="s">
        <v>129</v>
      </c>
      <c r="H28" s="9">
        <v>55028</v>
      </c>
      <c r="I28" s="9"/>
      <c r="J28" s="9">
        <v>72115</v>
      </c>
      <c r="K28" s="9">
        <v>90506.64</v>
      </c>
      <c r="L28" s="9">
        <v>73000</v>
      </c>
      <c r="M28" s="9">
        <v>84443.07</v>
      </c>
      <c r="N28" s="9">
        <v>91000</v>
      </c>
      <c r="O28" s="11">
        <f>N28/L28*1-1</f>
        <v>0.24657534246575352</v>
      </c>
      <c r="P28" s="9">
        <f>N28-L28</f>
        <v>18000</v>
      </c>
      <c r="Q28" s="9"/>
      <c r="R28" s="9">
        <v>81900</v>
      </c>
      <c r="S28" s="9">
        <v>82000</v>
      </c>
      <c r="T28" s="11">
        <f>S28/N28*1-1</f>
        <v>-9.8901098901098883E-2</v>
      </c>
      <c r="U28" s="9">
        <f t="shared" ref="U28:U34" si="7">S28-N28</f>
        <v>-9000</v>
      </c>
      <c r="V28" s="8">
        <v>81900</v>
      </c>
      <c r="W28" s="8">
        <v>81900</v>
      </c>
      <c r="Y28" s="9">
        <v>82000</v>
      </c>
      <c r="Z28" s="9"/>
      <c r="AA28" s="9"/>
      <c r="AB28" s="9"/>
      <c r="AC28" s="9"/>
      <c r="AD28" s="9">
        <v>90000</v>
      </c>
      <c r="AE28" s="9">
        <v>90000</v>
      </c>
      <c r="AF28" s="132">
        <v>120000</v>
      </c>
      <c r="AG28" s="132">
        <v>105000</v>
      </c>
      <c r="AH28" s="132">
        <v>105000</v>
      </c>
      <c r="AI28" s="11">
        <f>AH28/AF28*1-1</f>
        <v>-0.125</v>
      </c>
      <c r="AJ28" s="9">
        <f>AH28-AF28</f>
        <v>-15000</v>
      </c>
      <c r="AK28" s="9">
        <f>SUM(AH28)</f>
        <v>105000</v>
      </c>
      <c r="AL28" s="9"/>
      <c r="AM28" s="9"/>
      <c r="AN28" s="9"/>
      <c r="AO28" s="9"/>
      <c r="AP28" s="9"/>
      <c r="AQ28" s="9"/>
    </row>
    <row r="29" spans="1:43" ht="18.75" customHeight="1" x14ac:dyDescent="0.35">
      <c r="A29" s="8"/>
      <c r="B29" s="8"/>
      <c r="C29" s="8"/>
      <c r="D29" s="8"/>
      <c r="E29" s="8"/>
      <c r="F29" s="8"/>
      <c r="G29" s="10" t="s">
        <v>93</v>
      </c>
      <c r="H29" s="9">
        <v>2317</v>
      </c>
      <c r="I29" s="9"/>
      <c r="J29" s="9">
        <v>2317</v>
      </c>
      <c r="K29" s="9">
        <v>6444.99</v>
      </c>
      <c r="L29" s="9">
        <v>2000</v>
      </c>
      <c r="M29" s="9">
        <v>7786</v>
      </c>
      <c r="N29" s="9">
        <v>6000</v>
      </c>
      <c r="O29" s="11">
        <f>N29/L29*1-1</f>
        <v>2</v>
      </c>
      <c r="P29" s="9">
        <f>N29-L29</f>
        <v>4000</v>
      </c>
      <c r="Q29" s="9"/>
      <c r="R29" s="9">
        <v>6500</v>
      </c>
      <c r="S29" s="9">
        <v>7000</v>
      </c>
      <c r="T29" s="11">
        <f>S29/N29*1-1</f>
        <v>0.16666666666666674</v>
      </c>
      <c r="U29" s="9">
        <f t="shared" si="7"/>
        <v>1000</v>
      </c>
      <c r="V29" s="8">
        <v>6500</v>
      </c>
      <c r="W29" s="8">
        <v>6500</v>
      </c>
      <c r="Y29" s="9">
        <v>7000</v>
      </c>
      <c r="Z29" s="9"/>
      <c r="AA29" s="9"/>
      <c r="AB29" s="9"/>
      <c r="AC29" s="9"/>
      <c r="AD29" s="9">
        <v>7000</v>
      </c>
      <c r="AE29" s="9">
        <v>7000</v>
      </c>
      <c r="AF29" s="132">
        <v>8000</v>
      </c>
      <c r="AG29" s="132">
        <v>11000</v>
      </c>
      <c r="AH29" s="132">
        <v>11000</v>
      </c>
      <c r="AI29" s="11">
        <f>AH29/AF29*1-1</f>
        <v>0.375</v>
      </c>
      <c r="AJ29" s="9">
        <f>AH29-AF29</f>
        <v>3000</v>
      </c>
      <c r="AK29" s="9">
        <f t="shared" ref="AK29:AK31" si="8">SUM(AH29)</f>
        <v>11000</v>
      </c>
      <c r="AL29" s="9"/>
      <c r="AM29" s="9"/>
      <c r="AN29" s="9"/>
      <c r="AO29" s="9"/>
      <c r="AP29" s="9"/>
      <c r="AQ29" s="9"/>
    </row>
    <row r="30" spans="1:43" ht="20.25" customHeight="1" x14ac:dyDescent="0.35">
      <c r="A30" s="8"/>
      <c r="B30" s="8"/>
      <c r="C30" s="8"/>
      <c r="D30" s="8"/>
      <c r="E30" s="8"/>
      <c r="F30" s="8"/>
      <c r="G30" s="10" t="s">
        <v>130</v>
      </c>
      <c r="H30" s="9">
        <v>57924</v>
      </c>
      <c r="I30" s="9"/>
      <c r="J30" s="9">
        <v>57924</v>
      </c>
      <c r="K30" s="9"/>
      <c r="L30" s="9">
        <v>58000</v>
      </c>
      <c r="M30" s="9">
        <v>67566.929999999993</v>
      </c>
      <c r="N30" s="9">
        <v>58000</v>
      </c>
      <c r="O30" s="11">
        <f>N30/L30*1-1</f>
        <v>0</v>
      </c>
      <c r="P30" s="9">
        <f>N30-L30</f>
        <v>0</v>
      </c>
      <c r="Q30" s="9">
        <v>3775.31</v>
      </c>
      <c r="R30" s="9">
        <v>65000</v>
      </c>
      <c r="S30" s="9">
        <v>65000</v>
      </c>
      <c r="T30" s="11">
        <f>S30/N30*1-1</f>
        <v>0.1206896551724137</v>
      </c>
      <c r="U30" s="9">
        <f t="shared" si="7"/>
        <v>7000</v>
      </c>
      <c r="V30" s="8">
        <v>65000</v>
      </c>
      <c r="W30" s="8">
        <v>65000</v>
      </c>
      <c r="Y30" s="9">
        <v>65000</v>
      </c>
      <c r="Z30" s="9"/>
      <c r="AA30" s="9"/>
      <c r="AB30" s="9"/>
      <c r="AC30" s="9"/>
      <c r="AD30" s="9">
        <v>66000</v>
      </c>
      <c r="AE30" s="9">
        <v>66000</v>
      </c>
      <c r="AF30" s="9">
        <v>65000</v>
      </c>
      <c r="AG30" s="9">
        <v>65000</v>
      </c>
      <c r="AH30" s="9">
        <v>65000</v>
      </c>
      <c r="AI30" s="11">
        <f>AH30/AF30*1-1</f>
        <v>0</v>
      </c>
      <c r="AJ30" s="9">
        <f>AH30-AF30</f>
        <v>0</v>
      </c>
      <c r="AK30" s="9">
        <f t="shared" si="8"/>
        <v>65000</v>
      </c>
      <c r="AL30" s="9"/>
      <c r="AM30" s="9"/>
      <c r="AN30" s="9"/>
      <c r="AO30" s="9"/>
      <c r="AP30" s="9"/>
      <c r="AQ30" s="9"/>
    </row>
    <row r="31" spans="1:43" ht="20.25" customHeight="1" x14ac:dyDescent="0.35">
      <c r="A31" s="8"/>
      <c r="B31" s="8"/>
      <c r="C31" s="8"/>
      <c r="D31" s="8"/>
      <c r="E31" s="8"/>
      <c r="F31" s="8"/>
      <c r="G31" s="10" t="s">
        <v>131</v>
      </c>
      <c r="H31" s="9">
        <v>1158</v>
      </c>
      <c r="I31" s="9"/>
      <c r="J31" s="9">
        <v>290</v>
      </c>
      <c r="K31" s="9">
        <v>2236</v>
      </c>
      <c r="L31" s="9"/>
      <c r="M31" s="9">
        <v>2142</v>
      </c>
      <c r="N31" s="9">
        <v>5000</v>
      </c>
      <c r="O31" s="80" t="e">
        <f>N31/L31*1-1</f>
        <v>#DIV/0!</v>
      </c>
      <c r="P31" s="9">
        <f>N31-L31</f>
        <v>5000</v>
      </c>
      <c r="Q31" s="9"/>
      <c r="R31" s="9">
        <v>500</v>
      </c>
      <c r="S31" s="9">
        <v>1000</v>
      </c>
      <c r="T31" s="11">
        <f>S31/N31*1-1</f>
        <v>-0.8</v>
      </c>
      <c r="U31" s="9">
        <f t="shared" si="7"/>
        <v>-4000</v>
      </c>
      <c r="V31" s="8">
        <v>500</v>
      </c>
      <c r="W31" s="8">
        <v>500</v>
      </c>
      <c r="Y31" s="9">
        <v>1000</v>
      </c>
      <c r="Z31" s="9"/>
      <c r="AA31" s="9"/>
      <c r="AB31" s="9"/>
      <c r="AC31" s="9"/>
      <c r="AD31" s="9">
        <v>1000</v>
      </c>
      <c r="AE31" s="9">
        <v>1000</v>
      </c>
      <c r="AF31" s="9">
        <v>2000</v>
      </c>
      <c r="AG31" s="9">
        <v>2000</v>
      </c>
      <c r="AH31" s="9">
        <v>2000</v>
      </c>
      <c r="AI31" s="11">
        <f>AH31/AF31*1-1</f>
        <v>0</v>
      </c>
      <c r="AJ31" s="9">
        <f>AH31-AF31</f>
        <v>0</v>
      </c>
      <c r="AK31" s="9">
        <f t="shared" si="8"/>
        <v>2000</v>
      </c>
      <c r="AL31" s="9"/>
      <c r="AM31" s="9"/>
      <c r="AN31" s="9"/>
      <c r="AO31" s="9"/>
      <c r="AP31" s="9"/>
      <c r="AQ31" s="9"/>
    </row>
    <row r="32" spans="1:43" ht="20.25" customHeight="1" x14ac:dyDescent="0.35">
      <c r="A32" s="8"/>
      <c r="B32" s="8"/>
      <c r="C32" s="8"/>
      <c r="D32" s="8"/>
      <c r="E32" s="8"/>
      <c r="F32" s="8"/>
      <c r="G32" s="10" t="s">
        <v>94</v>
      </c>
      <c r="H32" s="9"/>
      <c r="I32" s="9"/>
      <c r="J32" s="9"/>
      <c r="K32" s="9"/>
      <c r="L32" s="9"/>
      <c r="M32" s="9">
        <v>24400</v>
      </c>
      <c r="N32" s="9"/>
      <c r="O32" s="80"/>
      <c r="P32" s="9"/>
      <c r="Q32" s="9">
        <v>15000</v>
      </c>
      <c r="R32" s="9">
        <v>0</v>
      </c>
      <c r="S32" s="9"/>
      <c r="T32" s="11"/>
      <c r="U32" s="9">
        <f t="shared" si="7"/>
        <v>0</v>
      </c>
      <c r="V32" s="8">
        <v>0</v>
      </c>
      <c r="W32" s="8">
        <v>0</v>
      </c>
      <c r="Y32" s="9"/>
      <c r="Z32" s="9"/>
      <c r="AA32" s="9"/>
      <c r="AB32" s="9"/>
      <c r="AC32" s="9"/>
      <c r="AD32" s="9">
        <v>0</v>
      </c>
      <c r="AE32" s="9"/>
      <c r="AF32" s="9"/>
      <c r="AG32" s="9"/>
      <c r="AH32" s="9"/>
      <c r="AI32" s="11"/>
      <c r="AJ32" s="9">
        <f>AF32-AE32</f>
        <v>0</v>
      </c>
      <c r="AK32" s="9"/>
      <c r="AL32" s="9"/>
      <c r="AM32" s="9"/>
      <c r="AN32" s="9"/>
      <c r="AO32" s="9"/>
      <c r="AP32" s="9"/>
      <c r="AQ32" s="9"/>
    </row>
    <row r="33" spans="1:44" ht="19.5" customHeight="1" x14ac:dyDescent="0.35">
      <c r="A33" s="8"/>
      <c r="B33" s="8"/>
      <c r="C33" s="8"/>
      <c r="D33" s="8"/>
      <c r="E33" s="8"/>
      <c r="F33" s="8"/>
      <c r="G33" s="81" t="s">
        <v>95</v>
      </c>
      <c r="H33" s="82">
        <f>SUM(H34:H43)</f>
        <v>35623</v>
      </c>
      <c r="I33" s="82"/>
      <c r="J33" s="82">
        <f>SUM(J34:J43)</f>
        <v>26356</v>
      </c>
      <c r="K33" s="82"/>
      <c r="L33" s="82">
        <f>SUM(L34:L43)</f>
        <v>13000</v>
      </c>
      <c r="M33" s="82">
        <f>SUM(M34,M40,M41,M43)</f>
        <v>41498.199999999997</v>
      </c>
      <c r="N33" s="82">
        <f>SUM(N34:N40)</f>
        <v>10000</v>
      </c>
      <c r="O33" s="83">
        <f>N33/L33*1-1</f>
        <v>-0.23076923076923073</v>
      </c>
      <c r="P33" s="82">
        <f>N33-L33</f>
        <v>-3000</v>
      </c>
      <c r="Q33" s="82">
        <f>SUM(Q34,Q40,Q41,Q43)</f>
        <v>23142.269999999997</v>
      </c>
      <c r="R33" s="82">
        <f>SUM(R34,R40,R41,R43)</f>
        <v>15700</v>
      </c>
      <c r="S33" s="82">
        <f>SUM(S34,S40,S41,S43)</f>
        <v>16000</v>
      </c>
      <c r="T33" s="83">
        <f>S33/Q33*1-1</f>
        <v>-0.30862443485448909</v>
      </c>
      <c r="U33" s="82">
        <f t="shared" si="7"/>
        <v>6000</v>
      </c>
      <c r="V33" s="60"/>
      <c r="W33" s="60"/>
      <c r="Y33" s="82">
        <f t="shared" ref="Y33:AF33" si="9">SUM(Y34,Y40,Y41,Y43)</f>
        <v>16000</v>
      </c>
      <c r="Z33" s="82">
        <f t="shared" si="9"/>
        <v>0</v>
      </c>
      <c r="AA33" s="82">
        <f t="shared" si="9"/>
        <v>0</v>
      </c>
      <c r="AB33" s="82">
        <f t="shared" si="9"/>
        <v>0</v>
      </c>
      <c r="AC33" s="82">
        <f t="shared" si="9"/>
        <v>0</v>
      </c>
      <c r="AD33" s="82">
        <f t="shared" si="9"/>
        <v>4000</v>
      </c>
      <c r="AE33" s="82">
        <f t="shared" si="9"/>
        <v>4000</v>
      </c>
      <c r="AF33" s="82">
        <f t="shared" si="9"/>
        <v>61000</v>
      </c>
      <c r="AG33" s="82">
        <f>SUM(AG34,AG40,AG43)</f>
        <v>48200</v>
      </c>
      <c r="AH33" s="82">
        <f>SUM(AH34,AH40,AH43)</f>
        <v>43000</v>
      </c>
      <c r="AI33" s="83">
        <f>AH33/AF33*1-1</f>
        <v>-0.29508196721311475</v>
      </c>
      <c r="AJ33" s="82">
        <f>AH33-AF33</f>
        <v>-18000</v>
      </c>
      <c r="AK33" s="82">
        <f>SUM(AK34,AK40,AK41,AK43)</f>
        <v>43000</v>
      </c>
      <c r="AL33" s="82"/>
      <c r="AM33" s="82"/>
      <c r="AN33" s="82">
        <f>SUM(AN34,AN40,AN41,AN43)</f>
        <v>0</v>
      </c>
      <c r="AO33" s="82">
        <f>SUM(AO34,AO40,AO41,AO43)</f>
        <v>0</v>
      </c>
      <c r="AP33" s="82">
        <f>SUM(AP34,AP40,AP41,AP43)</f>
        <v>0</v>
      </c>
      <c r="AQ33" s="82">
        <f>SUM(AQ34,AQ40,AQ41,AQ43)</f>
        <v>0</v>
      </c>
    </row>
    <row r="34" spans="1:44" ht="19.5" customHeight="1" x14ac:dyDescent="0.35">
      <c r="A34" s="8"/>
      <c r="B34" s="8"/>
      <c r="C34" s="8"/>
      <c r="D34" s="8"/>
      <c r="E34" s="8"/>
      <c r="F34" s="8"/>
      <c r="G34" s="62" t="s">
        <v>225</v>
      </c>
      <c r="H34" s="63">
        <v>3186</v>
      </c>
      <c r="I34" s="63"/>
      <c r="J34" s="63">
        <v>8689</v>
      </c>
      <c r="K34" s="63">
        <v>13133.92</v>
      </c>
      <c r="L34" s="63">
        <v>9000</v>
      </c>
      <c r="M34" s="63">
        <v>14845.31</v>
      </c>
      <c r="N34" s="63">
        <v>9000</v>
      </c>
      <c r="O34" s="64">
        <f>N34/L34*1-1</f>
        <v>0</v>
      </c>
      <c r="P34" s="63">
        <f>N34-L34</f>
        <v>0</v>
      </c>
      <c r="Q34" s="63">
        <v>6219.69</v>
      </c>
      <c r="R34" s="63">
        <v>14700</v>
      </c>
      <c r="S34" s="63">
        <v>15000</v>
      </c>
      <c r="T34" s="64">
        <f>S34/Q34*1-1</f>
        <v>1.4116957597565154</v>
      </c>
      <c r="U34" s="63">
        <f t="shared" si="7"/>
        <v>6000</v>
      </c>
      <c r="V34" s="63">
        <v>14300</v>
      </c>
      <c r="W34" s="63">
        <v>14000</v>
      </c>
      <c r="Y34" s="63">
        <v>15000</v>
      </c>
      <c r="Z34" s="63"/>
      <c r="AA34" s="63"/>
      <c r="AB34" s="63"/>
      <c r="AC34" s="63"/>
      <c r="AD34" s="63">
        <v>3000</v>
      </c>
      <c r="AE34" s="63">
        <v>3000</v>
      </c>
      <c r="AF34" s="63">
        <v>9600</v>
      </c>
      <c r="AG34" s="63">
        <f>SUM(AG35:AG39)</f>
        <v>8200</v>
      </c>
      <c r="AH34" s="63">
        <f>SUM(AH35:AH39)</f>
        <v>3200</v>
      </c>
      <c r="AI34" s="64">
        <f>AH34/AF34*1-1</f>
        <v>-0.66666666666666674</v>
      </c>
      <c r="AJ34" s="63">
        <f>AH34-AF34</f>
        <v>-6400</v>
      </c>
      <c r="AK34" s="63">
        <f>SUM(AH34)</f>
        <v>3200</v>
      </c>
      <c r="AL34" s="63"/>
      <c r="AM34" s="63"/>
      <c r="AN34" s="63"/>
      <c r="AO34" s="63"/>
      <c r="AP34" s="63"/>
      <c r="AQ34" s="63"/>
    </row>
    <row r="35" spans="1:44" ht="19.5" customHeight="1" x14ac:dyDescent="0.35">
      <c r="A35" s="8"/>
      <c r="B35" s="8"/>
      <c r="C35" s="8"/>
      <c r="D35" s="8"/>
      <c r="E35" s="8"/>
      <c r="F35" s="8"/>
      <c r="G35" s="62" t="s">
        <v>227</v>
      </c>
      <c r="H35" s="63"/>
      <c r="I35" s="63"/>
      <c r="J35" s="63"/>
      <c r="K35" s="63"/>
      <c r="L35" s="63"/>
      <c r="M35" s="63"/>
      <c r="N35" s="63"/>
      <c r="O35" s="64"/>
      <c r="P35" s="63"/>
      <c r="Q35" s="63"/>
      <c r="R35" s="63"/>
      <c r="S35" s="63"/>
      <c r="T35" s="64"/>
      <c r="U35" s="63"/>
      <c r="V35" s="63"/>
      <c r="W35" s="63"/>
      <c r="Y35" s="63"/>
      <c r="Z35" s="63"/>
      <c r="AA35" s="63"/>
      <c r="AB35" s="63"/>
      <c r="AC35" s="63"/>
      <c r="AD35" s="63"/>
      <c r="AE35" s="63"/>
      <c r="AF35" s="63"/>
      <c r="AG35" s="63">
        <v>1700</v>
      </c>
      <c r="AH35" s="63">
        <v>1700</v>
      </c>
      <c r="AI35" s="64"/>
      <c r="AJ35" s="63"/>
      <c r="AK35" s="63">
        <f t="shared" ref="AK35:AK46" si="10">SUM(AH35)</f>
        <v>1700</v>
      </c>
      <c r="AL35" s="63"/>
      <c r="AM35" s="63"/>
      <c r="AN35" s="63"/>
      <c r="AO35" s="63"/>
      <c r="AP35" s="63"/>
      <c r="AQ35" s="63"/>
    </row>
    <row r="36" spans="1:44" ht="19.5" customHeight="1" x14ac:dyDescent="0.35">
      <c r="A36" s="8"/>
      <c r="B36" s="8"/>
      <c r="C36" s="8"/>
      <c r="D36" s="8"/>
      <c r="E36" s="8"/>
      <c r="F36" s="8"/>
      <c r="G36" s="62" t="s">
        <v>226</v>
      </c>
      <c r="H36" s="63"/>
      <c r="I36" s="63"/>
      <c r="J36" s="63"/>
      <c r="K36" s="63"/>
      <c r="L36" s="63"/>
      <c r="M36" s="63"/>
      <c r="N36" s="63"/>
      <c r="O36" s="64"/>
      <c r="P36" s="63"/>
      <c r="Q36" s="63"/>
      <c r="R36" s="63"/>
      <c r="S36" s="63"/>
      <c r="T36" s="64"/>
      <c r="U36" s="63"/>
      <c r="V36" s="63"/>
      <c r="W36" s="63"/>
      <c r="Y36" s="63"/>
      <c r="Z36" s="63"/>
      <c r="AA36" s="63"/>
      <c r="AB36" s="63"/>
      <c r="AC36" s="63"/>
      <c r="AD36" s="63"/>
      <c r="AE36" s="63"/>
      <c r="AF36" s="63"/>
      <c r="AG36" s="63">
        <v>380</v>
      </c>
      <c r="AH36" s="63">
        <v>380</v>
      </c>
      <c r="AI36" s="64"/>
      <c r="AJ36" s="63"/>
      <c r="AK36" s="63">
        <f t="shared" si="10"/>
        <v>380</v>
      </c>
      <c r="AL36" s="63"/>
      <c r="AM36" s="63"/>
      <c r="AN36" s="63"/>
      <c r="AO36" s="63"/>
      <c r="AP36" s="63"/>
      <c r="AQ36" s="63"/>
    </row>
    <row r="37" spans="1:44" ht="27.65" customHeight="1" x14ac:dyDescent="0.35">
      <c r="A37" s="8"/>
      <c r="B37" s="8"/>
      <c r="C37" s="8"/>
      <c r="D37" s="8"/>
      <c r="E37" s="8"/>
      <c r="F37" s="8"/>
      <c r="G37" s="151" t="s">
        <v>228</v>
      </c>
      <c r="H37" s="63"/>
      <c r="I37" s="63"/>
      <c r="J37" s="63"/>
      <c r="K37" s="63"/>
      <c r="L37" s="63"/>
      <c r="M37" s="63"/>
      <c r="N37" s="63"/>
      <c r="O37" s="64"/>
      <c r="P37" s="63"/>
      <c r="Q37" s="63"/>
      <c r="R37" s="63"/>
      <c r="S37" s="63"/>
      <c r="T37" s="64"/>
      <c r="U37" s="63"/>
      <c r="V37" s="63"/>
      <c r="W37" s="63"/>
      <c r="Y37" s="63"/>
      <c r="Z37" s="63"/>
      <c r="AA37" s="63"/>
      <c r="AB37" s="63"/>
      <c r="AC37" s="63"/>
      <c r="AD37" s="63"/>
      <c r="AE37" s="63"/>
      <c r="AF37" s="63"/>
      <c r="AG37" s="63">
        <v>120</v>
      </c>
      <c r="AH37" s="63">
        <v>120</v>
      </c>
      <c r="AI37" s="64"/>
      <c r="AJ37" s="63"/>
      <c r="AK37" s="63">
        <f t="shared" si="10"/>
        <v>120</v>
      </c>
      <c r="AL37" s="63"/>
      <c r="AM37" s="63"/>
      <c r="AN37" s="63"/>
      <c r="AO37" s="63"/>
      <c r="AP37" s="63"/>
      <c r="AQ37" s="63"/>
    </row>
    <row r="38" spans="1:44" ht="25.75" hidden="1" customHeight="1" x14ac:dyDescent="0.35">
      <c r="A38" s="8"/>
      <c r="B38" s="8"/>
      <c r="C38" s="8"/>
      <c r="D38" s="8"/>
      <c r="E38" s="8"/>
      <c r="F38" s="8"/>
      <c r="G38" s="151" t="s">
        <v>231</v>
      </c>
      <c r="H38" s="63"/>
      <c r="I38" s="63"/>
      <c r="J38" s="63"/>
      <c r="K38" s="63"/>
      <c r="L38" s="63"/>
      <c r="M38" s="63"/>
      <c r="N38" s="63"/>
      <c r="O38" s="64"/>
      <c r="P38" s="63"/>
      <c r="Q38" s="63"/>
      <c r="R38" s="63"/>
      <c r="S38" s="63"/>
      <c r="T38" s="64"/>
      <c r="U38" s="63"/>
      <c r="V38" s="63"/>
      <c r="W38" s="63"/>
      <c r="Y38" s="63"/>
      <c r="Z38" s="63"/>
      <c r="AA38" s="63"/>
      <c r="AB38" s="63"/>
      <c r="AC38" s="63"/>
      <c r="AD38" s="63"/>
      <c r="AE38" s="63"/>
      <c r="AF38" s="63"/>
      <c r="AG38" s="63">
        <v>5000</v>
      </c>
      <c r="AH38" s="63"/>
      <c r="AI38" s="64"/>
      <c r="AJ38" s="63"/>
      <c r="AK38" s="63">
        <f t="shared" si="10"/>
        <v>0</v>
      </c>
      <c r="AL38" s="63"/>
      <c r="AM38" s="63"/>
      <c r="AN38" s="63"/>
      <c r="AO38" s="63"/>
      <c r="AP38" s="63"/>
      <c r="AQ38" s="63"/>
    </row>
    <row r="39" spans="1:44" ht="19.5" customHeight="1" x14ac:dyDescent="0.35">
      <c r="A39" s="8"/>
      <c r="B39" s="8"/>
      <c r="C39" s="8"/>
      <c r="D39" s="8"/>
      <c r="E39" s="8"/>
      <c r="F39" s="8"/>
      <c r="G39" s="62" t="s">
        <v>230</v>
      </c>
      <c r="H39" s="63"/>
      <c r="I39" s="63"/>
      <c r="J39" s="63"/>
      <c r="K39" s="63"/>
      <c r="L39" s="63"/>
      <c r="M39" s="63"/>
      <c r="N39" s="63"/>
      <c r="O39" s="64"/>
      <c r="P39" s="63"/>
      <c r="Q39" s="63"/>
      <c r="R39" s="63"/>
      <c r="S39" s="63"/>
      <c r="T39" s="64"/>
      <c r="U39" s="63"/>
      <c r="V39" s="63"/>
      <c r="W39" s="63"/>
      <c r="Y39" s="63"/>
      <c r="Z39" s="63"/>
      <c r="AA39" s="63"/>
      <c r="AB39" s="63"/>
      <c r="AC39" s="63"/>
      <c r="AD39" s="63"/>
      <c r="AE39" s="63"/>
      <c r="AF39" s="63"/>
      <c r="AG39" s="63">
        <v>1000</v>
      </c>
      <c r="AH39" s="63">
        <v>1000</v>
      </c>
      <c r="AI39" s="64"/>
      <c r="AJ39" s="63"/>
      <c r="AK39" s="63">
        <f t="shared" si="10"/>
        <v>1000</v>
      </c>
      <c r="AL39" s="63"/>
      <c r="AM39" s="63"/>
      <c r="AN39" s="63"/>
      <c r="AO39" s="63"/>
      <c r="AP39" s="63"/>
      <c r="AQ39" s="63"/>
    </row>
    <row r="40" spans="1:44" ht="19.5" customHeight="1" x14ac:dyDescent="0.35">
      <c r="A40" s="8"/>
      <c r="B40" s="8"/>
      <c r="C40" s="8"/>
      <c r="D40" s="8"/>
      <c r="E40" s="8"/>
      <c r="F40" s="8"/>
      <c r="G40" s="62" t="s">
        <v>36</v>
      </c>
      <c r="H40" s="63">
        <v>17377</v>
      </c>
      <c r="I40" s="63"/>
      <c r="J40" s="63">
        <v>3186</v>
      </c>
      <c r="K40" s="63"/>
      <c r="L40" s="63">
        <v>2000</v>
      </c>
      <c r="M40" s="63">
        <v>1161.27</v>
      </c>
      <c r="N40" s="63">
        <v>1000</v>
      </c>
      <c r="O40" s="64">
        <f>N40/L40*1-1</f>
        <v>-0.5</v>
      </c>
      <c r="P40" s="63">
        <f>N40-L40</f>
        <v>-1000</v>
      </c>
      <c r="Q40" s="63">
        <v>746.71</v>
      </c>
      <c r="R40" s="63">
        <v>1000</v>
      </c>
      <c r="S40" s="63">
        <v>1000</v>
      </c>
      <c r="T40" s="75">
        <f>S40/N40*1-1</f>
        <v>0</v>
      </c>
      <c r="U40" s="74">
        <f t="shared" ref="U40:U45" si="11">S40-N40</f>
        <v>0</v>
      </c>
      <c r="V40" s="40">
        <v>1000</v>
      </c>
      <c r="W40" s="40">
        <v>1000</v>
      </c>
      <c r="Y40" s="63">
        <v>1000</v>
      </c>
      <c r="Z40" s="63"/>
      <c r="AA40" s="63"/>
      <c r="AB40" s="63"/>
      <c r="AC40" s="63"/>
      <c r="AD40" s="63">
        <v>1000</v>
      </c>
      <c r="AE40" s="63">
        <v>1000</v>
      </c>
      <c r="AF40" s="63">
        <v>900</v>
      </c>
      <c r="AG40" s="63"/>
      <c r="AH40" s="63"/>
      <c r="AI40" s="64">
        <f>AH40/AF40*1-1</f>
        <v>-1</v>
      </c>
      <c r="AJ40" s="63">
        <f>AH40-AF40</f>
        <v>-900</v>
      </c>
      <c r="AK40" s="63">
        <f t="shared" si="10"/>
        <v>0</v>
      </c>
      <c r="AL40" s="63"/>
      <c r="AM40" s="63"/>
      <c r="AN40" s="63"/>
      <c r="AO40" s="63"/>
      <c r="AP40" s="63"/>
      <c r="AQ40" s="63"/>
    </row>
    <row r="41" spans="1:44" ht="19.5" hidden="1" customHeight="1" x14ac:dyDescent="0.35">
      <c r="A41" s="8"/>
      <c r="B41" s="8"/>
      <c r="C41" s="8"/>
      <c r="D41" s="8"/>
      <c r="E41" s="8"/>
      <c r="F41" s="8"/>
      <c r="G41" s="62" t="s">
        <v>74</v>
      </c>
      <c r="H41" s="63"/>
      <c r="I41" s="63"/>
      <c r="J41" s="63"/>
      <c r="K41" s="63"/>
      <c r="L41" s="63"/>
      <c r="M41" s="63">
        <v>21806.01</v>
      </c>
      <c r="N41" s="63"/>
      <c r="O41" s="64"/>
      <c r="P41" s="63"/>
      <c r="Q41" s="63">
        <v>6857.98</v>
      </c>
      <c r="R41" s="63"/>
      <c r="S41" s="63"/>
      <c r="T41" s="75"/>
      <c r="U41" s="74">
        <f t="shared" si="11"/>
        <v>0</v>
      </c>
      <c r="V41" s="40"/>
      <c r="W41" s="40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75"/>
      <c r="AJ41" s="74">
        <f>AE41-Z41</f>
        <v>0</v>
      </c>
      <c r="AK41" s="63">
        <f t="shared" si="10"/>
        <v>0</v>
      </c>
      <c r="AL41" s="63"/>
      <c r="AM41" s="63"/>
      <c r="AN41" s="63"/>
      <c r="AO41" s="63"/>
      <c r="AP41" s="63"/>
      <c r="AQ41" s="63"/>
    </row>
    <row r="42" spans="1:44" ht="19.5" hidden="1" customHeight="1" x14ac:dyDescent="0.35">
      <c r="A42" s="8"/>
      <c r="B42" s="8"/>
      <c r="C42" s="8"/>
      <c r="D42" s="8"/>
      <c r="E42" s="8"/>
      <c r="F42" s="8"/>
      <c r="G42" s="62" t="s">
        <v>75</v>
      </c>
      <c r="H42" s="63"/>
      <c r="I42" s="63"/>
      <c r="J42" s="63"/>
      <c r="K42" s="63"/>
      <c r="L42" s="63"/>
      <c r="M42" s="63">
        <v>163.44</v>
      </c>
      <c r="N42" s="63"/>
      <c r="O42" s="64"/>
      <c r="P42" s="63"/>
      <c r="Q42" s="63">
        <v>112.67</v>
      </c>
      <c r="R42" s="63">
        <v>160</v>
      </c>
      <c r="S42" s="63"/>
      <c r="T42" s="75"/>
      <c r="U42" s="74">
        <f t="shared" si="11"/>
        <v>0</v>
      </c>
      <c r="V42" s="40">
        <v>160</v>
      </c>
      <c r="W42" s="40">
        <v>160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75"/>
      <c r="AJ42" s="74">
        <f>AE42-Z42</f>
        <v>0</v>
      </c>
      <c r="AK42" s="63">
        <f t="shared" si="10"/>
        <v>0</v>
      </c>
      <c r="AL42" s="63"/>
      <c r="AM42" s="63"/>
      <c r="AN42" s="63"/>
      <c r="AO42" s="63"/>
      <c r="AP42" s="63"/>
      <c r="AQ42" s="63"/>
    </row>
    <row r="43" spans="1:44" ht="19.5" customHeight="1" x14ac:dyDescent="0.35">
      <c r="A43" s="8"/>
      <c r="B43" s="59"/>
      <c r="C43" s="8"/>
      <c r="D43" s="8"/>
      <c r="E43" s="8"/>
      <c r="F43" s="8"/>
      <c r="G43" s="62" t="s">
        <v>132</v>
      </c>
      <c r="H43" s="63">
        <v>15060</v>
      </c>
      <c r="I43" s="63"/>
      <c r="J43" s="63">
        <v>14481</v>
      </c>
      <c r="K43" s="63"/>
      <c r="L43" s="63">
        <v>2000</v>
      </c>
      <c r="M43" s="63">
        <v>3685.61</v>
      </c>
      <c r="N43" s="63"/>
      <c r="O43" s="64">
        <f>N43/L43*1-1</f>
        <v>-1</v>
      </c>
      <c r="P43" s="63">
        <f>N43-L43</f>
        <v>-2000</v>
      </c>
      <c r="Q43" s="63">
        <v>9317.89</v>
      </c>
      <c r="R43" s="63"/>
      <c r="S43" s="63"/>
      <c r="T43" s="75"/>
      <c r="U43" s="74">
        <f t="shared" si="11"/>
        <v>0</v>
      </c>
      <c r="V43" s="40"/>
      <c r="W43" s="40"/>
      <c r="Y43" s="63"/>
      <c r="Z43" s="63"/>
      <c r="AA43" s="63"/>
      <c r="AB43" s="63"/>
      <c r="AC43" s="63"/>
      <c r="AD43" s="63"/>
      <c r="AE43" s="63"/>
      <c r="AF43" s="63">
        <v>50500</v>
      </c>
      <c r="AG43" s="63">
        <v>40000</v>
      </c>
      <c r="AH43" s="63">
        <v>39800</v>
      </c>
      <c r="AI43" s="75"/>
      <c r="AJ43" s="63">
        <f>AH43-AF43</f>
        <v>-10700</v>
      </c>
      <c r="AK43" s="63">
        <f t="shared" si="10"/>
        <v>39800</v>
      </c>
      <c r="AL43" s="63"/>
      <c r="AM43" s="63"/>
      <c r="AN43" s="63"/>
      <c r="AO43" s="63"/>
      <c r="AP43" s="63"/>
      <c r="AQ43" s="63"/>
    </row>
    <row r="44" spans="1:44" ht="19.5" hidden="1" customHeight="1" x14ac:dyDescent="0.35">
      <c r="A44" s="8"/>
      <c r="B44" s="58"/>
      <c r="C44" s="58"/>
      <c r="D44" s="58"/>
      <c r="E44" s="58"/>
      <c r="F44" s="58"/>
      <c r="G44" s="79" t="s">
        <v>76</v>
      </c>
      <c r="H44" s="63"/>
      <c r="I44" s="63"/>
      <c r="J44" s="63"/>
      <c r="K44" s="63"/>
      <c r="L44" s="63"/>
      <c r="M44" s="63">
        <v>800</v>
      </c>
      <c r="N44" s="63"/>
      <c r="O44" s="64"/>
      <c r="P44" s="63"/>
      <c r="Q44" s="63"/>
      <c r="R44" s="63"/>
      <c r="S44" s="63"/>
      <c r="T44" s="75"/>
      <c r="U44" s="74">
        <f t="shared" si="11"/>
        <v>0</v>
      </c>
      <c r="V44" s="40"/>
      <c r="W44" s="40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75"/>
      <c r="AJ44" s="74">
        <f>AE44-Z44</f>
        <v>0</v>
      </c>
      <c r="AK44" s="63">
        <f t="shared" si="10"/>
        <v>0</v>
      </c>
      <c r="AL44" s="63"/>
      <c r="AM44" s="63"/>
      <c r="AN44" s="63"/>
      <c r="AO44" s="63"/>
      <c r="AP44" s="63"/>
      <c r="AQ44" s="63"/>
    </row>
    <row r="45" spans="1:44" ht="19.5" hidden="1" customHeight="1" x14ac:dyDescent="0.35">
      <c r="A45" s="8"/>
      <c r="B45" s="58"/>
      <c r="C45" s="58"/>
      <c r="D45" s="58"/>
      <c r="E45" s="58"/>
      <c r="F45" s="58"/>
      <c r="G45" s="79" t="s">
        <v>78</v>
      </c>
      <c r="H45" s="63"/>
      <c r="I45" s="63"/>
      <c r="J45" s="63"/>
      <c r="K45" s="63"/>
      <c r="L45" s="63"/>
      <c r="M45" s="63"/>
      <c r="N45" s="63"/>
      <c r="O45" s="64"/>
      <c r="P45" s="63"/>
      <c r="Q45" s="63">
        <v>6370</v>
      </c>
      <c r="R45" s="63"/>
      <c r="S45" s="63"/>
      <c r="T45" s="75"/>
      <c r="U45" s="74">
        <f t="shared" si="11"/>
        <v>0</v>
      </c>
      <c r="V45" s="40"/>
      <c r="W45" s="40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75"/>
      <c r="AJ45" s="74">
        <f>AE45-Z45</f>
        <v>0</v>
      </c>
      <c r="AK45" s="63">
        <f t="shared" si="10"/>
        <v>0</v>
      </c>
      <c r="AL45" s="63"/>
      <c r="AM45" s="63"/>
      <c r="AN45" s="63"/>
      <c r="AO45" s="63"/>
      <c r="AP45" s="63"/>
      <c r="AQ45" s="63"/>
    </row>
    <row r="46" spans="1:44" ht="19.5" hidden="1" customHeight="1" x14ac:dyDescent="0.35">
      <c r="A46" s="8"/>
      <c r="B46" s="58"/>
      <c r="C46" s="58"/>
      <c r="D46" s="58"/>
      <c r="E46" s="58"/>
      <c r="F46" s="58"/>
      <c r="G46" s="79" t="s">
        <v>77</v>
      </c>
      <c r="H46" s="63"/>
      <c r="I46" s="63"/>
      <c r="J46" s="63"/>
      <c r="K46" s="63"/>
      <c r="L46" s="63"/>
      <c r="M46" s="63">
        <v>624.38</v>
      </c>
      <c r="N46" s="63"/>
      <c r="O46" s="64"/>
      <c r="P46" s="63"/>
      <c r="Q46" s="63">
        <v>1649.41</v>
      </c>
      <c r="R46" s="63"/>
      <c r="S46" s="63"/>
      <c r="T46" s="64"/>
      <c r="U46" s="63"/>
      <c r="V46" s="40"/>
      <c r="W46" s="40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J46" s="63"/>
      <c r="AK46" s="63">
        <f t="shared" si="10"/>
        <v>0</v>
      </c>
      <c r="AL46" s="63"/>
      <c r="AM46" s="63"/>
      <c r="AN46" s="63"/>
      <c r="AO46" s="63"/>
      <c r="AP46" s="63"/>
      <c r="AQ46" s="63"/>
    </row>
    <row r="47" spans="1:44" s="34" customFormat="1" ht="31.4" hidden="1" customHeight="1" x14ac:dyDescent="0.35">
      <c r="A47" s="153"/>
      <c r="B47" s="154"/>
      <c r="C47" s="154"/>
      <c r="D47" s="154"/>
      <c r="E47" s="154"/>
      <c r="F47" s="154"/>
      <c r="G47" s="152" t="s">
        <v>229</v>
      </c>
      <c r="H47" s="15"/>
      <c r="I47" s="15"/>
      <c r="J47" s="15"/>
      <c r="K47" s="15"/>
      <c r="L47" s="15"/>
      <c r="M47" s="15"/>
      <c r="N47" s="15"/>
      <c r="O47" s="11"/>
      <c r="P47" s="15"/>
      <c r="Q47" s="15"/>
      <c r="R47" s="15"/>
      <c r="S47" s="15"/>
      <c r="T47" s="11"/>
      <c r="U47" s="15"/>
      <c r="V47" s="15"/>
      <c r="W47" s="15"/>
      <c r="X47" s="155"/>
      <c r="Y47" s="15"/>
      <c r="Z47" s="15"/>
      <c r="AA47" s="15"/>
      <c r="AB47" s="15"/>
      <c r="AC47" s="15"/>
      <c r="AD47" s="15"/>
      <c r="AE47" s="15"/>
      <c r="AF47" s="15"/>
      <c r="AG47" s="15">
        <v>360</v>
      </c>
      <c r="AH47" s="15"/>
      <c r="AI47" s="11"/>
      <c r="AJ47" s="15"/>
      <c r="AK47" s="15"/>
      <c r="AL47" s="15"/>
      <c r="AM47" s="15"/>
      <c r="AN47" s="15"/>
      <c r="AO47" s="15"/>
      <c r="AP47" s="15"/>
      <c r="AQ47" s="15"/>
      <c r="AR47" s="166"/>
    </row>
    <row r="48" spans="1:44" ht="29.25" customHeight="1" x14ac:dyDescent="0.35">
      <c r="A48" s="335" t="s">
        <v>133</v>
      </c>
      <c r="B48" s="336"/>
      <c r="C48" s="336"/>
      <c r="D48" s="336"/>
      <c r="E48" s="336"/>
      <c r="F48" s="336"/>
      <c r="G48" s="337"/>
      <c r="H48" s="35">
        <v>1808677</v>
      </c>
      <c r="I48" s="35"/>
      <c r="J48" s="35">
        <v>1500532</v>
      </c>
      <c r="K48" s="35">
        <v>1500532</v>
      </c>
      <c r="L48" s="35">
        <v>1958000</v>
      </c>
      <c r="M48" s="35">
        <v>1958000</v>
      </c>
      <c r="N48" s="35">
        <v>2459000</v>
      </c>
      <c r="O48" s="36">
        <f>N48/L48*1-1</f>
        <v>0.25587334014300311</v>
      </c>
      <c r="P48" s="35">
        <f>N48-L48</f>
        <v>501000</v>
      </c>
      <c r="Q48" s="35"/>
      <c r="R48" s="66">
        <v>2459400</v>
      </c>
      <c r="S48" s="35">
        <v>0</v>
      </c>
      <c r="T48" s="36">
        <f>S48/N48*1-1</f>
        <v>-1</v>
      </c>
      <c r="U48" s="35">
        <f>S48-N48</f>
        <v>-2459000</v>
      </c>
      <c r="V48" s="35">
        <v>2459000</v>
      </c>
      <c r="W48" s="35">
        <v>2459000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66">
        <v>0</v>
      </c>
      <c r="AE48" s="35">
        <v>0</v>
      </c>
      <c r="AF48" s="35">
        <v>0</v>
      </c>
      <c r="AG48" s="35"/>
      <c r="AH48" s="35"/>
      <c r="AI48" s="36">
        <v>0</v>
      </c>
      <c r="AJ48" s="35">
        <f>AE48-Z48</f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</row>
    <row r="49" spans="1:44" ht="26.25" hidden="1" customHeight="1" x14ac:dyDescent="0.35">
      <c r="A49" s="30"/>
      <c r="B49" s="67"/>
      <c r="C49" s="30"/>
      <c r="D49" s="30"/>
      <c r="E49" s="30"/>
      <c r="F49" s="30"/>
      <c r="G49" s="32" t="s">
        <v>39</v>
      </c>
      <c r="H49" s="30"/>
      <c r="I49" s="30"/>
      <c r="J49" s="30"/>
      <c r="K49" s="30"/>
      <c r="L49" s="30"/>
      <c r="M49" s="30"/>
      <c r="N49" s="30">
        <v>22000</v>
      </c>
      <c r="O49" s="31"/>
      <c r="P49" s="30"/>
      <c r="Q49" s="30"/>
      <c r="R49" s="30"/>
      <c r="S49" s="30"/>
      <c r="T49" s="31"/>
      <c r="U49" s="8">
        <f>S49-N49</f>
        <v>-22000</v>
      </c>
      <c r="V49" s="30"/>
      <c r="W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1"/>
      <c r="AJ49" s="8">
        <f>AE49-Z49</f>
        <v>0</v>
      </c>
      <c r="AK49" s="30"/>
      <c r="AL49" s="30"/>
      <c r="AM49" s="30"/>
      <c r="AN49" s="30"/>
      <c r="AO49" s="30"/>
      <c r="AP49" s="30"/>
      <c r="AQ49" s="30"/>
    </row>
    <row r="50" spans="1:44" ht="39" customHeight="1" x14ac:dyDescent="0.35">
      <c r="A50" s="339" t="s">
        <v>12</v>
      </c>
      <c r="B50" s="340"/>
      <c r="C50" s="340"/>
      <c r="D50" s="340"/>
      <c r="E50" s="340"/>
      <c r="F50" s="340"/>
      <c r="G50" s="341"/>
      <c r="H50" s="42">
        <f t="shared" ref="H50:N50" si="12">SUM(H6,H48)</f>
        <v>9384557</v>
      </c>
      <c r="I50" s="42">
        <f t="shared" si="12"/>
        <v>0</v>
      </c>
      <c r="J50" s="42">
        <f t="shared" si="12"/>
        <v>10586755</v>
      </c>
      <c r="K50" s="42">
        <f t="shared" si="12"/>
        <v>10338803.4</v>
      </c>
      <c r="L50" s="42">
        <f t="shared" si="12"/>
        <v>11158000</v>
      </c>
      <c r="M50" s="42">
        <f t="shared" si="12"/>
        <v>11202134.879999999</v>
      </c>
      <c r="N50" s="42">
        <f t="shared" si="12"/>
        <v>11462000</v>
      </c>
      <c r="O50" s="43">
        <f>N50/L50*1-1</f>
        <v>2.7245025990320748E-2</v>
      </c>
      <c r="P50" s="42">
        <f>N50-L50</f>
        <v>304000</v>
      </c>
      <c r="Q50" s="42"/>
      <c r="R50" s="42">
        <f>SUM(R6,R48)</f>
        <v>11462000</v>
      </c>
      <c r="S50" s="42">
        <f>SUM(S6,S48)</f>
        <v>15087000</v>
      </c>
      <c r="T50" s="43">
        <f>S50/N50*1-1</f>
        <v>0.31626243238527318</v>
      </c>
      <c r="U50" s="42">
        <f>S50-N50</f>
        <v>3625000</v>
      </c>
      <c r="V50" s="42">
        <f>SUM(V6,V48)</f>
        <v>2612900</v>
      </c>
      <c r="W50" s="42">
        <f>SUM(W6,W48)</f>
        <v>2612900</v>
      </c>
      <c r="Y50" s="42">
        <f t="shared" ref="Y50:AG50" si="13">SUM(Y6,Y48)</f>
        <v>15087000</v>
      </c>
      <c r="Z50" s="42">
        <f t="shared" si="13"/>
        <v>0</v>
      </c>
      <c r="AA50" s="42">
        <f t="shared" si="13"/>
        <v>0</v>
      </c>
      <c r="AB50" s="42">
        <f t="shared" si="13"/>
        <v>0</v>
      </c>
      <c r="AC50" s="42">
        <f t="shared" si="13"/>
        <v>0</v>
      </c>
      <c r="AD50" s="42">
        <f t="shared" si="13"/>
        <v>15321000</v>
      </c>
      <c r="AE50" s="42">
        <f t="shared" si="13"/>
        <v>15438000</v>
      </c>
      <c r="AF50" s="42">
        <f t="shared" si="13"/>
        <v>16070000</v>
      </c>
      <c r="AG50" s="42">
        <f t="shared" si="13"/>
        <v>231560</v>
      </c>
      <c r="AH50" s="42">
        <f>SUM(AH6,AH48)</f>
        <v>15175000</v>
      </c>
      <c r="AI50" s="43">
        <f>AH50/AF50*1-1</f>
        <v>-5.569383945239581E-2</v>
      </c>
      <c r="AJ50" s="42">
        <f>AH50-AF50</f>
        <v>-895000</v>
      </c>
      <c r="AK50" s="42">
        <f t="shared" ref="AK50:AQ50" si="14">SUM(AK6,AK48)</f>
        <v>13537070</v>
      </c>
      <c r="AL50" s="42">
        <f t="shared" si="14"/>
        <v>2176930</v>
      </c>
      <c r="AM50" s="42">
        <f t="shared" si="14"/>
        <v>0</v>
      </c>
      <c r="AN50" s="42">
        <f t="shared" si="14"/>
        <v>0</v>
      </c>
      <c r="AO50" s="42">
        <f t="shared" si="14"/>
        <v>0</v>
      </c>
      <c r="AP50" s="42">
        <f t="shared" si="14"/>
        <v>0</v>
      </c>
      <c r="AQ50" s="42">
        <f t="shared" si="14"/>
        <v>0</v>
      </c>
    </row>
    <row r="51" spans="1:44" s="16" customFormat="1" ht="25.5" hidden="1" customHeight="1" x14ac:dyDescent="0.3">
      <c r="A51" s="99" t="s">
        <v>25</v>
      </c>
      <c r="B51" s="99"/>
      <c r="C51" s="99"/>
      <c r="D51" s="99"/>
      <c r="E51" s="99"/>
      <c r="F51" s="99"/>
      <c r="G51" s="99"/>
      <c r="H51" s="99"/>
      <c r="I51" s="99"/>
      <c r="J51" s="99"/>
      <c r="K51" s="99">
        <v>346209.82</v>
      </c>
      <c r="L51" s="99">
        <v>236275</v>
      </c>
      <c r="M51" s="99"/>
      <c r="N51" s="99">
        <v>17576</v>
      </c>
      <c r="O51" s="100">
        <f>N51/L51*1-1</f>
        <v>-0.92561210453920217</v>
      </c>
      <c r="P51" s="99">
        <f>N51-L51</f>
        <v>-218699</v>
      </c>
      <c r="Q51" s="99"/>
      <c r="R51" s="99"/>
      <c r="S51" s="99">
        <f>SUM(S52:S53)</f>
        <v>195626</v>
      </c>
      <c r="T51" s="100">
        <f>S51/N51*1-1</f>
        <v>10.130291306326809</v>
      </c>
      <c r="U51" s="99">
        <f>S51-N51</f>
        <v>178050</v>
      </c>
      <c r="V51" s="101"/>
      <c r="W51" s="101"/>
      <c r="X51" s="102"/>
      <c r="Y51" s="99">
        <f>SUM(Y52)</f>
        <v>0</v>
      </c>
      <c r="Z51" s="99">
        <f>SUM(Z52)</f>
        <v>0</v>
      </c>
      <c r="AA51" s="99">
        <f>SUM(AA52)</f>
        <v>0</v>
      </c>
      <c r="AB51" s="99">
        <f>SUM(AB52)</f>
        <v>0</v>
      </c>
      <c r="AC51" s="99">
        <f>SUM(AC52:AC53)</f>
        <v>195626</v>
      </c>
      <c r="AD51" s="99"/>
      <c r="AE51" s="99">
        <f>SUM(AE52:AE53)</f>
        <v>649919</v>
      </c>
      <c r="AF51" s="99">
        <f>SUM(AF52:AF53)</f>
        <v>1226066</v>
      </c>
      <c r="AG51" s="99"/>
      <c r="AH51" s="99"/>
      <c r="AI51" s="100">
        <f t="shared" ref="AI51:AI57" si="15">AF51/AE51*1-1</f>
        <v>0.88649047035092066</v>
      </c>
      <c r="AJ51" s="99">
        <f t="shared" ref="AJ51:AJ60" si="16">AF51-AE51</f>
        <v>576147</v>
      </c>
      <c r="AK51" s="99">
        <f>SUM(AK52)</f>
        <v>0</v>
      </c>
      <c r="AL51" s="99"/>
      <c r="AM51" s="99"/>
      <c r="AN51" s="99">
        <f>SUM(AN52)</f>
        <v>0</v>
      </c>
      <c r="AO51" s="99">
        <f>SUM(AO52)</f>
        <v>0</v>
      </c>
      <c r="AP51" s="99">
        <f>SUM(AP52)</f>
        <v>0</v>
      </c>
      <c r="AQ51" s="99">
        <f>SUM(AQ52:AQ53)</f>
        <v>1226066</v>
      </c>
      <c r="AR51" s="166"/>
    </row>
    <row r="52" spans="1:44" s="16" customFormat="1" ht="25.5" hidden="1" customHeight="1" x14ac:dyDescent="0.3">
      <c r="A52" s="84"/>
      <c r="B52" s="84"/>
      <c r="C52" s="84"/>
      <c r="D52" s="84"/>
      <c r="E52" s="84"/>
      <c r="F52" s="84"/>
      <c r="G52" s="46" t="s">
        <v>96</v>
      </c>
      <c r="H52" s="84"/>
      <c r="I52" s="84"/>
      <c r="J52" s="84"/>
      <c r="K52" s="84"/>
      <c r="L52" s="84"/>
      <c r="M52" s="84"/>
      <c r="N52" s="84"/>
      <c r="O52" s="20"/>
      <c r="P52" s="68"/>
      <c r="Q52" s="68"/>
      <c r="R52" s="84"/>
      <c r="S52" s="46">
        <v>65496</v>
      </c>
      <c r="T52" s="20"/>
      <c r="U52" s="68"/>
      <c r="V52" s="15"/>
      <c r="W52" s="15"/>
      <c r="Y52" s="46"/>
      <c r="Z52" s="46"/>
      <c r="AA52" s="46"/>
      <c r="AB52" s="46"/>
      <c r="AC52" s="46">
        <v>65496</v>
      </c>
      <c r="AD52" s="84"/>
      <c r="AE52" s="46">
        <v>76597</v>
      </c>
      <c r="AF52" s="46">
        <v>48017</v>
      </c>
      <c r="AG52" s="46"/>
      <c r="AH52" s="46"/>
      <c r="AI52" s="12">
        <f t="shared" si="15"/>
        <v>-0.37312166272830527</v>
      </c>
      <c r="AJ52" s="69">
        <f t="shared" si="16"/>
        <v>-28580</v>
      </c>
      <c r="AK52" s="46"/>
      <c r="AL52" s="46"/>
      <c r="AM52" s="46"/>
      <c r="AN52" s="46"/>
      <c r="AO52" s="46"/>
      <c r="AP52" s="46"/>
      <c r="AQ52" s="46">
        <f>SUM(AF52)</f>
        <v>48017</v>
      </c>
      <c r="AR52" s="166"/>
    </row>
    <row r="53" spans="1:44" s="16" customFormat="1" ht="25.5" hidden="1" customHeight="1" x14ac:dyDescent="0.3">
      <c r="A53" s="84"/>
      <c r="B53" s="111"/>
      <c r="C53" s="111"/>
      <c r="D53" s="111"/>
      <c r="E53" s="111"/>
      <c r="F53" s="111"/>
      <c r="G53" s="112" t="s">
        <v>163</v>
      </c>
      <c r="H53" s="84"/>
      <c r="I53" s="84"/>
      <c r="J53" s="84"/>
      <c r="K53" s="84"/>
      <c r="L53" s="84"/>
      <c r="M53" s="84"/>
      <c r="N53" s="84"/>
      <c r="O53" s="20"/>
      <c r="P53" s="68"/>
      <c r="Q53" s="68"/>
      <c r="R53" s="84"/>
      <c r="S53" s="46">
        <v>130130</v>
      </c>
      <c r="T53" s="20"/>
      <c r="U53" s="68"/>
      <c r="V53" s="15"/>
      <c r="W53" s="15"/>
      <c r="Y53" s="46"/>
      <c r="Z53" s="46"/>
      <c r="AA53" s="46"/>
      <c r="AB53" s="46"/>
      <c r="AC53" s="46">
        <v>130130</v>
      </c>
      <c r="AD53" s="84"/>
      <c r="AE53" s="46">
        <v>573322</v>
      </c>
      <c r="AF53" s="46">
        <v>1178049</v>
      </c>
      <c r="AG53" s="46"/>
      <c r="AH53" s="46"/>
      <c r="AI53" s="12">
        <f t="shared" si="15"/>
        <v>1.0547772455967155</v>
      </c>
      <c r="AJ53" s="69">
        <f t="shared" si="16"/>
        <v>604727</v>
      </c>
      <c r="AK53" s="46"/>
      <c r="AL53" s="46"/>
      <c r="AM53" s="46"/>
      <c r="AN53" s="46"/>
      <c r="AO53" s="46"/>
      <c r="AP53" s="46"/>
      <c r="AQ53" s="46">
        <f>SUM(AF53)</f>
        <v>1178049</v>
      </c>
      <c r="AR53" s="166"/>
    </row>
    <row r="54" spans="1:44" ht="24.75" hidden="1" customHeight="1" x14ac:dyDescent="0.35">
      <c r="A54" s="360" t="s">
        <v>134</v>
      </c>
      <c r="B54" s="361"/>
      <c r="C54" s="361"/>
      <c r="D54" s="361"/>
      <c r="E54" s="361"/>
      <c r="F54" s="361"/>
      <c r="G54" s="362"/>
      <c r="H54" s="99">
        <f>SUM(H55:H63)</f>
        <v>4870697</v>
      </c>
      <c r="I54" s="99"/>
      <c r="J54" s="99">
        <f>SUM(J55:J63)</f>
        <v>4518960</v>
      </c>
      <c r="K54" s="99">
        <f>SUM(K55:K63)</f>
        <v>4558932.46</v>
      </c>
      <c r="L54" s="99">
        <f>SUM(L55:L63)</f>
        <v>4826386</v>
      </c>
      <c r="M54" s="99"/>
      <c r="N54" s="99">
        <f>SUM(N55:N63)</f>
        <v>4897900</v>
      </c>
      <c r="O54" s="100">
        <f t="shared" ref="O54:O67" si="17">N54/L54*1-1</f>
        <v>1.4817298077692165E-2</v>
      </c>
      <c r="P54" s="99">
        <f>N54-L54</f>
        <v>71514</v>
      </c>
      <c r="Q54" s="99"/>
      <c r="R54" s="99">
        <f>SUM(R55:R63)</f>
        <v>0</v>
      </c>
      <c r="S54" s="99">
        <f>SUM(S55:S63)</f>
        <v>5514915</v>
      </c>
      <c r="T54" s="100">
        <f>S54/N54*1-1</f>
        <v>0.1259754180363013</v>
      </c>
      <c r="U54" s="99">
        <f t="shared" ref="U54:U59" si="18">S54-N54</f>
        <v>617015</v>
      </c>
      <c r="V54" s="101">
        <f>SUM(V55:V63)</f>
        <v>0</v>
      </c>
      <c r="W54" s="101">
        <f>SUM(W55:W63)</f>
        <v>0</v>
      </c>
      <c r="X54" s="103"/>
      <c r="Y54" s="99">
        <f t="shared" ref="Y54:AF54" si="19">SUM(Y55:Y63)</f>
        <v>0</v>
      </c>
      <c r="Z54" s="99">
        <f t="shared" si="19"/>
        <v>0</v>
      </c>
      <c r="AA54" s="99">
        <f t="shared" si="19"/>
        <v>0</v>
      </c>
      <c r="AB54" s="99">
        <f t="shared" si="19"/>
        <v>5514915</v>
      </c>
      <c r="AC54" s="99">
        <f t="shared" si="19"/>
        <v>0</v>
      </c>
      <c r="AD54" s="99">
        <f t="shared" si="19"/>
        <v>5374593</v>
      </c>
      <c r="AE54" s="99">
        <f t="shared" si="19"/>
        <v>6162558</v>
      </c>
      <c r="AF54" s="99">
        <f t="shared" si="19"/>
        <v>7723871</v>
      </c>
      <c r="AG54" s="99"/>
      <c r="AH54" s="99"/>
      <c r="AI54" s="100">
        <f t="shared" si="15"/>
        <v>0.25335469459273252</v>
      </c>
      <c r="AJ54" s="99">
        <f t="shared" si="16"/>
        <v>1561313</v>
      </c>
      <c r="AK54" s="99">
        <f>SUM(AK55:AK63)</f>
        <v>0</v>
      </c>
      <c r="AL54" s="99"/>
      <c r="AM54" s="99"/>
      <c r="AN54" s="99">
        <f>SUM(AN55:AN63)</f>
        <v>0</v>
      </c>
      <c r="AO54" s="99">
        <f>SUM(AO55:AO63)</f>
        <v>0</v>
      </c>
      <c r="AP54" s="99">
        <f>SUM(AP55:AP63)</f>
        <v>7723871</v>
      </c>
      <c r="AQ54" s="99">
        <f>SUM(AQ55:AQ63)</f>
        <v>0</v>
      </c>
    </row>
    <row r="55" spans="1:44" ht="23.25" hidden="1" customHeight="1" x14ac:dyDescent="0.35">
      <c r="A55" s="3"/>
      <c r="B55" s="3"/>
      <c r="C55" s="3"/>
      <c r="D55" s="3"/>
      <c r="E55" s="3"/>
      <c r="F55" s="3"/>
      <c r="G55" s="28" t="s">
        <v>135</v>
      </c>
      <c r="H55" s="3">
        <v>1270256</v>
      </c>
      <c r="I55" s="3"/>
      <c r="J55" s="3">
        <v>851702</v>
      </c>
      <c r="K55" s="69">
        <v>830384.94</v>
      </c>
      <c r="L55" s="13">
        <v>925830</v>
      </c>
      <c r="M55" s="13"/>
      <c r="N55" s="33">
        <v>963700</v>
      </c>
      <c r="O55" s="12">
        <f t="shared" si="17"/>
        <v>4.090383763757921E-2</v>
      </c>
      <c r="P55" s="3">
        <f>N55-L55</f>
        <v>37870</v>
      </c>
      <c r="Q55" s="3"/>
      <c r="R55" s="33"/>
      <c r="S55" s="33">
        <v>988792</v>
      </c>
      <c r="T55" s="37">
        <f t="shared" ref="T55:T65" si="20">S55/N55*1-1</f>
        <v>2.6037148490194006E-2</v>
      </c>
      <c r="U55" s="69">
        <f t="shared" si="18"/>
        <v>25092</v>
      </c>
      <c r="V55" s="33"/>
      <c r="W55" s="33"/>
      <c r="Y55" s="33"/>
      <c r="Z55" s="33"/>
      <c r="AA55" s="33"/>
      <c r="AB55" s="33">
        <v>988792</v>
      </c>
      <c r="AC55" s="33"/>
      <c r="AD55" s="33">
        <v>1276681</v>
      </c>
      <c r="AE55" s="33">
        <v>1118202</v>
      </c>
      <c r="AF55" s="33">
        <v>1490326</v>
      </c>
      <c r="AG55" s="33"/>
      <c r="AH55" s="33"/>
      <c r="AI55" s="12">
        <f t="shared" si="15"/>
        <v>0.33278781472399444</v>
      </c>
      <c r="AJ55" s="69">
        <f t="shared" si="16"/>
        <v>372124</v>
      </c>
      <c r="AK55" s="33"/>
      <c r="AL55" s="33"/>
      <c r="AM55" s="33"/>
      <c r="AN55" s="33"/>
      <c r="AO55" s="33"/>
      <c r="AP55" s="33">
        <f t="shared" ref="AP55:AP63" si="21">SUM(AF55)</f>
        <v>1490326</v>
      </c>
      <c r="AQ55" s="33"/>
    </row>
    <row r="56" spans="1:44" ht="28.4" hidden="1" customHeight="1" x14ac:dyDescent="0.35">
      <c r="A56" s="3"/>
      <c r="B56" s="3"/>
      <c r="C56" s="3"/>
      <c r="D56" s="3"/>
      <c r="E56" s="3"/>
      <c r="F56" s="3"/>
      <c r="G56" s="29" t="s">
        <v>173</v>
      </c>
      <c r="H56" s="3">
        <v>3578835</v>
      </c>
      <c r="I56" s="3"/>
      <c r="J56" s="3">
        <v>3643232</v>
      </c>
      <c r="K56" s="70">
        <v>3704230.47</v>
      </c>
      <c r="L56" s="13">
        <v>3850000</v>
      </c>
      <c r="M56" s="13"/>
      <c r="N56" s="13">
        <v>3905000</v>
      </c>
      <c r="O56" s="12">
        <f t="shared" si="17"/>
        <v>1.4285714285714235E-2</v>
      </c>
      <c r="P56" s="3">
        <f>N56-L56</f>
        <v>55000</v>
      </c>
      <c r="Q56" s="3"/>
      <c r="R56" s="13"/>
      <c r="S56" s="13">
        <v>4053400</v>
      </c>
      <c r="T56" s="37">
        <f t="shared" si="20"/>
        <v>3.8002560819462294E-2</v>
      </c>
      <c r="U56" s="69">
        <f t="shared" si="18"/>
        <v>148400</v>
      </c>
      <c r="V56" s="13"/>
      <c r="W56" s="13"/>
      <c r="Y56" s="13"/>
      <c r="Z56" s="13"/>
      <c r="AA56" s="13"/>
      <c r="AB56" s="13">
        <v>4053400</v>
      </c>
      <c r="AC56" s="13"/>
      <c r="AD56" s="13">
        <v>4073712</v>
      </c>
      <c r="AE56" s="13">
        <v>4356200</v>
      </c>
      <c r="AF56" s="13">
        <v>5010500</v>
      </c>
      <c r="AG56" s="13"/>
      <c r="AH56" s="13"/>
      <c r="AI56" s="12">
        <f t="shared" si="15"/>
        <v>0.15019971534823928</v>
      </c>
      <c r="AJ56" s="69">
        <f t="shared" si="16"/>
        <v>654300</v>
      </c>
      <c r="AK56" s="13"/>
      <c r="AL56" s="13"/>
      <c r="AM56" s="13"/>
      <c r="AN56" s="13"/>
      <c r="AO56" s="13"/>
      <c r="AP56" s="33">
        <f t="shared" si="21"/>
        <v>5010500</v>
      </c>
      <c r="AQ56" s="13"/>
    </row>
    <row r="57" spans="1:44" ht="30" hidden="1" customHeight="1" x14ac:dyDescent="0.35">
      <c r="A57" s="3"/>
      <c r="B57" s="3"/>
      <c r="C57" s="3"/>
      <c r="D57" s="3"/>
      <c r="E57" s="3"/>
      <c r="F57" s="3"/>
      <c r="G57" s="28" t="s">
        <v>136</v>
      </c>
      <c r="H57" s="3">
        <v>21606</v>
      </c>
      <c r="I57" s="3"/>
      <c r="J57" s="3">
        <v>23476</v>
      </c>
      <c r="K57" s="69">
        <v>23476</v>
      </c>
      <c r="L57" s="13">
        <v>28000</v>
      </c>
      <c r="M57" s="13"/>
      <c r="N57" s="13">
        <v>29200</v>
      </c>
      <c r="O57" s="12">
        <f t="shared" si="17"/>
        <v>4.2857142857142927E-2</v>
      </c>
      <c r="P57" s="3">
        <f>N57-L57</f>
        <v>1200</v>
      </c>
      <c r="Q57" s="3"/>
      <c r="R57" s="13"/>
      <c r="S57" s="13">
        <v>27900</v>
      </c>
      <c r="T57" s="37">
        <f t="shared" si="20"/>
        <v>-4.4520547945205435E-2</v>
      </c>
      <c r="U57" s="69">
        <f t="shared" si="18"/>
        <v>-1300</v>
      </c>
      <c r="V57" s="13"/>
      <c r="W57" s="13"/>
      <c r="Y57" s="13"/>
      <c r="Z57" s="13"/>
      <c r="AA57" s="13"/>
      <c r="AB57" s="13">
        <v>27900</v>
      </c>
      <c r="AC57" s="13"/>
      <c r="AD57" s="13">
        <v>24200</v>
      </c>
      <c r="AE57" s="13">
        <v>24300</v>
      </c>
      <c r="AF57" s="13">
        <v>22900</v>
      </c>
      <c r="AG57" s="13"/>
      <c r="AH57" s="13"/>
      <c r="AI57" s="12">
        <f t="shared" si="15"/>
        <v>-5.7613168724279795E-2</v>
      </c>
      <c r="AJ57" s="69">
        <f t="shared" si="16"/>
        <v>-1400</v>
      </c>
      <c r="AK57" s="13"/>
      <c r="AL57" s="13"/>
      <c r="AM57" s="13"/>
      <c r="AN57" s="13"/>
      <c r="AO57" s="13"/>
      <c r="AP57" s="33">
        <f t="shared" si="21"/>
        <v>22900</v>
      </c>
      <c r="AQ57" s="13"/>
    </row>
    <row r="58" spans="1:44" ht="30" hidden="1" customHeight="1" x14ac:dyDescent="0.35">
      <c r="A58" s="3"/>
      <c r="B58" s="3"/>
      <c r="C58" s="3"/>
      <c r="D58" s="3"/>
      <c r="E58" s="3"/>
      <c r="F58" s="3"/>
      <c r="G58" s="28" t="s">
        <v>137</v>
      </c>
      <c r="H58" s="3"/>
      <c r="I58" s="3"/>
      <c r="J58" s="3"/>
      <c r="K58" s="69"/>
      <c r="L58" s="13"/>
      <c r="M58" s="13"/>
      <c r="N58" s="13"/>
      <c r="O58" s="12"/>
      <c r="P58" s="3"/>
      <c r="Q58" s="3"/>
      <c r="R58" s="13"/>
      <c r="S58" s="13">
        <v>13623</v>
      </c>
      <c r="T58" s="37"/>
      <c r="U58" s="69">
        <f t="shared" si="18"/>
        <v>13623</v>
      </c>
      <c r="V58" s="13"/>
      <c r="W58" s="13"/>
      <c r="Y58" s="13"/>
      <c r="Z58" s="13"/>
      <c r="AA58" s="13"/>
      <c r="AB58" s="13">
        <v>13623</v>
      </c>
      <c r="AC58" s="13"/>
      <c r="AD58" s="13"/>
      <c r="AE58" s="13"/>
      <c r="AF58" s="13">
        <v>18500</v>
      </c>
      <c r="AG58" s="13"/>
      <c r="AH58" s="13"/>
      <c r="AI58" s="12"/>
      <c r="AJ58" s="69">
        <f t="shared" si="16"/>
        <v>18500</v>
      </c>
      <c r="AK58" s="13"/>
      <c r="AL58" s="13"/>
      <c r="AM58" s="13"/>
      <c r="AN58" s="13"/>
      <c r="AO58" s="13"/>
      <c r="AP58" s="33">
        <f t="shared" si="21"/>
        <v>18500</v>
      </c>
      <c r="AQ58" s="13"/>
    </row>
    <row r="59" spans="1:44" ht="30" hidden="1" customHeight="1" x14ac:dyDescent="0.35">
      <c r="A59" s="3"/>
      <c r="B59" s="3"/>
      <c r="C59" s="3"/>
      <c r="D59" s="3"/>
      <c r="E59" s="3"/>
      <c r="F59" s="3"/>
      <c r="G59" s="28" t="s">
        <v>138</v>
      </c>
      <c r="H59" s="3"/>
      <c r="I59" s="3"/>
      <c r="J59" s="3"/>
      <c r="K59" s="69"/>
      <c r="L59" s="13"/>
      <c r="M59" s="13"/>
      <c r="N59" s="13"/>
      <c r="O59" s="12"/>
      <c r="P59" s="3"/>
      <c r="Q59" s="3"/>
      <c r="R59" s="13"/>
      <c r="S59" s="13">
        <v>431200</v>
      </c>
      <c r="T59" s="37"/>
      <c r="U59" s="69">
        <f t="shared" si="18"/>
        <v>431200</v>
      </c>
      <c r="V59" s="13"/>
      <c r="W59" s="13"/>
      <c r="Y59" s="13"/>
      <c r="Z59" s="13"/>
      <c r="AA59" s="13"/>
      <c r="AB59" s="13">
        <v>431200</v>
      </c>
      <c r="AC59" s="13"/>
      <c r="AD59" s="13"/>
      <c r="AE59" s="13">
        <v>663856</v>
      </c>
      <c r="AF59" s="13">
        <v>334645</v>
      </c>
      <c r="AG59" s="13"/>
      <c r="AH59" s="13"/>
      <c r="AI59" s="12">
        <f>AF59/AE59*1-1</f>
        <v>-0.49590724494468685</v>
      </c>
      <c r="AJ59" s="69">
        <f t="shared" si="16"/>
        <v>-329211</v>
      </c>
      <c r="AK59" s="13"/>
      <c r="AL59" s="13"/>
      <c r="AM59" s="13"/>
      <c r="AN59" s="13"/>
      <c r="AO59" s="13"/>
      <c r="AP59" s="33">
        <f t="shared" si="21"/>
        <v>334645</v>
      </c>
      <c r="AQ59" s="13"/>
    </row>
    <row r="60" spans="1:44" ht="27.75" hidden="1" customHeight="1" x14ac:dyDescent="0.35">
      <c r="A60" s="3"/>
      <c r="B60" s="3"/>
      <c r="C60" s="3"/>
      <c r="D60" s="3"/>
      <c r="E60" s="3"/>
      <c r="F60" s="3"/>
      <c r="G60" s="28" t="s">
        <v>139</v>
      </c>
      <c r="H60" s="3"/>
      <c r="I60" s="3"/>
      <c r="J60" s="3">
        <v>550</v>
      </c>
      <c r="K60" s="69">
        <v>841.05</v>
      </c>
      <c r="L60" s="3"/>
      <c r="M60" s="3"/>
      <c r="N60" s="13"/>
      <c r="O60" s="21" t="e">
        <f t="shared" si="17"/>
        <v>#DIV/0!</v>
      </c>
      <c r="P60" s="3">
        <f>N60-L60</f>
        <v>0</v>
      </c>
      <c r="Q60" s="3"/>
      <c r="R60" s="13"/>
      <c r="S60" s="13"/>
      <c r="T60" s="37"/>
      <c r="U60" s="3">
        <f t="shared" ref="U60:U67" si="22">S60-Q60</f>
        <v>0</v>
      </c>
      <c r="V60" s="13"/>
      <c r="W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/>
      <c r="AJ60" s="69">
        <f t="shared" si="16"/>
        <v>0</v>
      </c>
      <c r="AK60" s="13"/>
      <c r="AL60" s="13"/>
      <c r="AM60" s="13"/>
      <c r="AN60" s="13"/>
      <c r="AO60" s="13"/>
      <c r="AP60" s="33">
        <f t="shared" si="21"/>
        <v>0</v>
      </c>
      <c r="AQ60" s="13"/>
    </row>
    <row r="61" spans="1:44" hidden="1" x14ac:dyDescent="0.35">
      <c r="A61" s="3"/>
      <c r="B61" s="3"/>
      <c r="C61" s="3"/>
      <c r="D61" s="3"/>
      <c r="E61" s="3"/>
      <c r="F61" s="3"/>
      <c r="G61" s="28" t="s">
        <v>97</v>
      </c>
      <c r="H61" s="3"/>
      <c r="I61" s="3"/>
      <c r="J61" s="3"/>
      <c r="K61" s="69"/>
      <c r="L61" s="13">
        <v>22556</v>
      </c>
      <c r="M61" s="13"/>
      <c r="N61" s="13"/>
      <c r="O61" s="12"/>
      <c r="P61" s="3">
        <f>N61-L61</f>
        <v>-22556</v>
      </c>
      <c r="Q61" s="3"/>
      <c r="R61" s="13"/>
      <c r="S61" s="13"/>
      <c r="T61" s="37"/>
      <c r="U61" s="3">
        <f t="shared" si="22"/>
        <v>0</v>
      </c>
      <c r="V61" s="13"/>
      <c r="W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37"/>
      <c r="AJ61" s="69">
        <f>AE61-S61</f>
        <v>0</v>
      </c>
      <c r="AK61" s="13"/>
      <c r="AL61" s="13"/>
      <c r="AM61" s="13"/>
      <c r="AN61" s="13"/>
      <c r="AO61" s="13"/>
      <c r="AP61" s="33">
        <f t="shared" si="21"/>
        <v>0</v>
      </c>
      <c r="AQ61" s="13"/>
    </row>
    <row r="62" spans="1:44" hidden="1" x14ac:dyDescent="0.35">
      <c r="A62" s="3"/>
      <c r="B62" s="3"/>
      <c r="C62" s="3"/>
      <c r="D62" s="3"/>
      <c r="E62" s="3"/>
      <c r="F62" s="3"/>
      <c r="G62" s="28" t="s">
        <v>207</v>
      </c>
      <c r="H62" s="3"/>
      <c r="I62" s="3"/>
      <c r="J62" s="3"/>
      <c r="K62" s="69"/>
      <c r="L62" s="13"/>
      <c r="M62" s="13"/>
      <c r="N62" s="13"/>
      <c r="O62" s="12"/>
      <c r="P62" s="3">
        <f>N62-L62</f>
        <v>0</v>
      </c>
      <c r="Q62" s="3"/>
      <c r="R62" s="13"/>
      <c r="S62" s="13"/>
      <c r="T62" s="37"/>
      <c r="U62" s="3">
        <f t="shared" si="22"/>
        <v>0</v>
      </c>
      <c r="V62" s="13"/>
      <c r="W62" s="13"/>
      <c r="Y62" s="13"/>
      <c r="Z62" s="13"/>
      <c r="AA62" s="13"/>
      <c r="AB62" s="13"/>
      <c r="AC62" s="13"/>
      <c r="AD62" s="13"/>
      <c r="AE62" s="13"/>
      <c r="AF62" s="13">
        <v>615000</v>
      </c>
      <c r="AG62" s="13"/>
      <c r="AH62" s="13"/>
      <c r="AI62" s="12"/>
      <c r="AJ62" s="69">
        <f t="shared" ref="AJ62:AJ69" si="23">AF62-AE62</f>
        <v>615000</v>
      </c>
      <c r="AK62" s="13"/>
      <c r="AL62" s="13"/>
      <c r="AM62" s="13"/>
      <c r="AN62" s="13"/>
      <c r="AO62" s="13"/>
      <c r="AP62" s="33">
        <f t="shared" si="21"/>
        <v>615000</v>
      </c>
      <c r="AQ62" s="13"/>
    </row>
    <row r="63" spans="1:44" ht="24.5" hidden="1" x14ac:dyDescent="0.35">
      <c r="A63" s="3"/>
      <c r="B63" s="3"/>
      <c r="C63" s="3"/>
      <c r="D63" s="3"/>
      <c r="E63" s="3"/>
      <c r="F63" s="3"/>
      <c r="G63" s="28" t="s">
        <v>218</v>
      </c>
      <c r="H63" s="3"/>
      <c r="I63" s="3"/>
      <c r="J63" s="3"/>
      <c r="K63" s="69"/>
      <c r="L63" s="13"/>
      <c r="M63" s="13"/>
      <c r="N63" s="13"/>
      <c r="O63" s="12"/>
      <c r="P63" s="3">
        <f>N63-L63</f>
        <v>0</v>
      </c>
      <c r="Q63" s="3"/>
      <c r="R63" s="13"/>
      <c r="S63" s="13"/>
      <c r="T63" s="37"/>
      <c r="U63" s="3">
        <f t="shared" si="22"/>
        <v>0</v>
      </c>
      <c r="V63" s="13"/>
      <c r="W63" s="13"/>
      <c r="Y63" s="13"/>
      <c r="Z63" s="13"/>
      <c r="AA63" s="13"/>
      <c r="AB63" s="13"/>
      <c r="AC63" s="13"/>
      <c r="AD63" s="13"/>
      <c r="AE63" s="13"/>
      <c r="AF63" s="13">
        <v>232000</v>
      </c>
      <c r="AG63" s="13"/>
      <c r="AH63" s="13"/>
      <c r="AI63" s="12"/>
      <c r="AJ63" s="69">
        <f t="shared" si="23"/>
        <v>232000</v>
      </c>
      <c r="AK63" s="13"/>
      <c r="AL63" s="13"/>
      <c r="AM63" s="13"/>
      <c r="AN63" s="13"/>
      <c r="AO63" s="13"/>
      <c r="AP63" s="33">
        <f t="shared" si="21"/>
        <v>232000</v>
      </c>
      <c r="AQ63" s="13"/>
    </row>
    <row r="64" spans="1:44" ht="26.5" hidden="1" customHeight="1" x14ac:dyDescent="0.35">
      <c r="A64" s="104" t="s">
        <v>140</v>
      </c>
      <c r="B64" s="104"/>
      <c r="C64" s="104"/>
      <c r="D64" s="104"/>
      <c r="E64" s="104"/>
      <c r="F64" s="104"/>
      <c r="G64" s="108"/>
      <c r="H64" s="104">
        <f>SUM(H65)</f>
        <v>0</v>
      </c>
      <c r="I64" s="104"/>
      <c r="J64" s="104">
        <f>SUM(J65:J67)</f>
        <v>289620</v>
      </c>
      <c r="K64" s="104">
        <f>SUM(K65)</f>
        <v>0</v>
      </c>
      <c r="L64" s="104">
        <f t="shared" ref="L64:S64" si="24">SUM(L65:L67)</f>
        <v>751800</v>
      </c>
      <c r="M64" s="104">
        <f t="shared" si="24"/>
        <v>0</v>
      </c>
      <c r="N64" s="104">
        <f t="shared" si="24"/>
        <v>43800</v>
      </c>
      <c r="O64" s="104">
        <f t="shared" si="24"/>
        <v>-1</v>
      </c>
      <c r="P64" s="104">
        <f t="shared" si="24"/>
        <v>-751800</v>
      </c>
      <c r="Q64" s="104">
        <f t="shared" si="24"/>
        <v>0</v>
      </c>
      <c r="R64" s="104">
        <f t="shared" si="24"/>
        <v>43800</v>
      </c>
      <c r="S64" s="104">
        <f t="shared" si="24"/>
        <v>0</v>
      </c>
      <c r="T64" s="109">
        <f>S64/N64*1-1</f>
        <v>-1</v>
      </c>
      <c r="U64" s="106">
        <f>S64-N64</f>
        <v>-43800</v>
      </c>
      <c r="V64" s="104">
        <f>SUM(V65)</f>
        <v>43800</v>
      </c>
      <c r="W64" s="104">
        <f>SUM(W65)</f>
        <v>43800</v>
      </c>
      <c r="X64" s="110"/>
      <c r="Y64" s="104">
        <f t="shared" ref="Y64:AE64" si="25">SUM(Y65:Y67)</f>
        <v>0</v>
      </c>
      <c r="Z64" s="104">
        <f t="shared" si="25"/>
        <v>0</v>
      </c>
      <c r="AA64" s="104">
        <f t="shared" si="25"/>
        <v>0</v>
      </c>
      <c r="AB64" s="104">
        <f t="shared" si="25"/>
        <v>0</v>
      </c>
      <c r="AC64" s="104">
        <f t="shared" si="25"/>
        <v>0</v>
      </c>
      <c r="AD64" s="104">
        <f t="shared" si="25"/>
        <v>0</v>
      </c>
      <c r="AE64" s="104">
        <f t="shared" si="25"/>
        <v>49700</v>
      </c>
      <c r="AF64" s="104">
        <f t="shared" ref="AF64" si="26">SUM(AF65:AF67)</f>
        <v>898800</v>
      </c>
      <c r="AG64" s="104"/>
      <c r="AH64" s="104"/>
      <c r="AI64" s="136">
        <f>AF64/AE64*1-1</f>
        <v>17.08450704225352</v>
      </c>
      <c r="AJ64" s="106">
        <f t="shared" si="23"/>
        <v>849100</v>
      </c>
      <c r="AK64" s="104">
        <f>SUM(AK65:AK67)</f>
        <v>0</v>
      </c>
      <c r="AL64" s="104"/>
      <c r="AM64" s="104"/>
      <c r="AN64" s="104">
        <f>SUM(AN65:AN67)</f>
        <v>0</v>
      </c>
      <c r="AO64" s="104">
        <f>SUM(AO65:AO67)</f>
        <v>0</v>
      </c>
      <c r="AP64" s="104">
        <f>SUM(AP65:AP67)</f>
        <v>898800</v>
      </c>
      <c r="AQ64" s="104">
        <f>SUM(AQ65:AQ67)</f>
        <v>0</v>
      </c>
    </row>
    <row r="65" spans="1:43" ht="30" hidden="1" customHeight="1" x14ac:dyDescent="0.35">
      <c r="A65" s="17"/>
      <c r="B65" s="17"/>
      <c r="C65" s="17"/>
      <c r="D65" s="17"/>
      <c r="E65" s="17"/>
      <c r="F65" s="17"/>
      <c r="G65" s="28" t="s">
        <v>141</v>
      </c>
      <c r="H65" s="3"/>
      <c r="I65" s="3"/>
      <c r="J65" s="3"/>
      <c r="K65" s="69"/>
      <c r="L65" s="105"/>
      <c r="M65" s="105"/>
      <c r="N65" s="105">
        <v>43800</v>
      </c>
      <c r="O65" s="12"/>
      <c r="P65" s="69"/>
      <c r="Q65" s="69"/>
      <c r="R65" s="105">
        <v>43800</v>
      </c>
      <c r="S65" s="105"/>
      <c r="T65" s="12">
        <f t="shared" si="20"/>
        <v>-1</v>
      </c>
      <c r="U65" s="69">
        <f>S65-N65</f>
        <v>-43800</v>
      </c>
      <c r="V65" s="19">
        <v>43800</v>
      </c>
      <c r="W65" s="19">
        <v>43800</v>
      </c>
      <c r="Y65" s="19"/>
      <c r="Z65" s="19"/>
      <c r="AA65" s="19"/>
      <c r="AB65" s="19"/>
      <c r="AC65" s="19"/>
      <c r="AD65" s="105"/>
      <c r="AE65" s="105">
        <v>49700</v>
      </c>
      <c r="AF65" s="105">
        <v>53100</v>
      </c>
      <c r="AG65" s="105"/>
      <c r="AH65" s="105"/>
      <c r="AI65" s="12">
        <f>AF65/AE65*1-1</f>
        <v>6.8410462776659964E-2</v>
      </c>
      <c r="AJ65" s="69">
        <f t="shared" si="23"/>
        <v>3400</v>
      </c>
      <c r="AK65" s="19"/>
      <c r="AL65" s="19"/>
      <c r="AM65" s="19"/>
      <c r="AN65" s="19"/>
      <c r="AO65" s="19"/>
      <c r="AP65" s="33">
        <f>SUM(AF65)</f>
        <v>53100</v>
      </c>
      <c r="AQ65" s="19"/>
    </row>
    <row r="66" spans="1:43" ht="40.4" hidden="1" customHeight="1" x14ac:dyDescent="0.35">
      <c r="A66" s="17"/>
      <c r="B66" s="9"/>
      <c r="C66" s="9"/>
      <c r="D66" s="9"/>
      <c r="E66" s="9"/>
      <c r="F66" s="9"/>
      <c r="G66" s="28" t="s">
        <v>142</v>
      </c>
      <c r="H66" s="3"/>
      <c r="I66" s="3"/>
      <c r="J66" s="3"/>
      <c r="K66" s="68">
        <v>568874.97</v>
      </c>
      <c r="L66" s="105">
        <v>451800</v>
      </c>
      <c r="M66" s="105"/>
      <c r="N66" s="105"/>
      <c r="O66" s="12"/>
      <c r="P66" s="105">
        <f>N66-L66</f>
        <v>-451800</v>
      </c>
      <c r="Q66" s="105"/>
      <c r="R66" s="105"/>
      <c r="S66" s="105"/>
      <c r="T66" s="12"/>
      <c r="U66" s="105">
        <f t="shared" si="22"/>
        <v>0</v>
      </c>
      <c r="V66" s="19"/>
      <c r="W66" s="19"/>
      <c r="X66" s="107"/>
      <c r="Y66" s="19"/>
      <c r="Z66" s="19"/>
      <c r="AA66" s="19"/>
      <c r="AB66" s="19"/>
      <c r="AC66" s="19"/>
      <c r="AD66" s="105"/>
      <c r="AE66" s="105"/>
      <c r="AF66" s="105">
        <v>845700</v>
      </c>
      <c r="AG66" s="105"/>
      <c r="AH66" s="105"/>
      <c r="AI66" s="12"/>
      <c r="AJ66" s="69">
        <f t="shared" si="23"/>
        <v>845700</v>
      </c>
      <c r="AK66" s="19"/>
      <c r="AL66" s="19"/>
      <c r="AM66" s="19"/>
      <c r="AN66" s="19"/>
      <c r="AO66" s="19"/>
      <c r="AP66" s="33">
        <f>SUM(AF66)</f>
        <v>845700</v>
      </c>
      <c r="AQ66" s="19"/>
    </row>
    <row r="67" spans="1:43" ht="23.5" hidden="1" customHeight="1" x14ac:dyDescent="0.35">
      <c r="A67" s="3"/>
      <c r="B67" s="3"/>
      <c r="C67" s="3"/>
      <c r="D67" s="3"/>
      <c r="E67" s="3"/>
      <c r="F67" s="3"/>
      <c r="G67" s="4" t="s">
        <v>143</v>
      </c>
      <c r="H67" s="3">
        <v>196942</v>
      </c>
      <c r="I67" s="3"/>
      <c r="J67" s="3">
        <v>289620</v>
      </c>
      <c r="K67" s="3">
        <v>289082.69</v>
      </c>
      <c r="L67" s="105">
        <v>300000</v>
      </c>
      <c r="M67" s="105"/>
      <c r="N67" s="105"/>
      <c r="O67" s="12">
        <f t="shared" si="17"/>
        <v>-1</v>
      </c>
      <c r="P67" s="105">
        <f>N67-L67</f>
        <v>-300000</v>
      </c>
      <c r="Q67" s="105"/>
      <c r="R67" s="105"/>
      <c r="S67" s="105"/>
      <c r="T67" s="12"/>
      <c r="U67" s="105">
        <f t="shared" si="22"/>
        <v>0</v>
      </c>
      <c r="V67" s="13"/>
      <c r="W67" s="13"/>
      <c r="X67" s="107"/>
      <c r="Y67" s="13"/>
      <c r="Z67" s="13"/>
      <c r="AA67" s="13"/>
      <c r="AB67" s="13"/>
      <c r="AC67" s="13"/>
      <c r="AD67" s="105"/>
      <c r="AE67" s="105"/>
      <c r="AF67" s="105"/>
      <c r="AG67" s="105"/>
      <c r="AH67" s="105"/>
      <c r="AI67" s="12"/>
      <c r="AJ67" s="69">
        <f t="shared" si="23"/>
        <v>0</v>
      </c>
      <c r="AK67" s="13"/>
      <c r="AL67" s="13"/>
      <c r="AM67" s="13"/>
      <c r="AN67" s="13"/>
      <c r="AO67" s="13"/>
      <c r="AP67" s="33">
        <f>SUM(AF67)</f>
        <v>0</v>
      </c>
      <c r="AQ67" s="13"/>
    </row>
    <row r="68" spans="1:43" ht="33" hidden="1" customHeight="1" x14ac:dyDescent="0.35">
      <c r="A68" s="44" t="s">
        <v>144</v>
      </c>
      <c r="B68" s="44"/>
      <c r="C68" s="44"/>
      <c r="D68" s="44"/>
      <c r="E68" s="44"/>
      <c r="F68" s="44"/>
      <c r="G68" s="44"/>
      <c r="H68" s="44" t="e">
        <f>SUM(H50,H54,#REF!)</f>
        <v>#REF!</v>
      </c>
      <c r="I68" s="44"/>
      <c r="J68" s="44">
        <f>SUM(J69,J74,J80,J86)</f>
        <v>937210</v>
      </c>
      <c r="K68" s="44"/>
      <c r="L68" s="44">
        <f t="shared" ref="L68:AH68" si="27">SUM(L69,L74,L80,L86)</f>
        <v>961970</v>
      </c>
      <c r="M68" s="44">
        <f t="shared" si="27"/>
        <v>1043258.52</v>
      </c>
      <c r="N68" s="44">
        <f t="shared" si="27"/>
        <v>1013400</v>
      </c>
      <c r="O68" s="44">
        <f t="shared" si="27"/>
        <v>-0.44564517111890245</v>
      </c>
      <c r="P68" s="44">
        <f t="shared" si="27"/>
        <v>51430</v>
      </c>
      <c r="Q68" s="44">
        <f t="shared" si="27"/>
        <v>660612.47</v>
      </c>
      <c r="R68" s="44">
        <f t="shared" si="27"/>
        <v>1980650</v>
      </c>
      <c r="S68" s="44">
        <f t="shared" si="27"/>
        <v>1711000</v>
      </c>
      <c r="T68" s="44">
        <f t="shared" si="27"/>
        <v>199.55539038523662</v>
      </c>
      <c r="U68" s="44">
        <f t="shared" si="27"/>
        <v>697600</v>
      </c>
      <c r="V68" s="44">
        <f t="shared" si="27"/>
        <v>2182768</v>
      </c>
      <c r="W68" s="44">
        <f t="shared" si="27"/>
        <v>2179328</v>
      </c>
      <c r="X68" s="44">
        <f t="shared" si="27"/>
        <v>1576000</v>
      </c>
      <c r="Y68" s="44">
        <f t="shared" si="27"/>
        <v>627500</v>
      </c>
      <c r="Z68" s="44">
        <f t="shared" si="27"/>
        <v>1043500</v>
      </c>
      <c r="AA68" s="44">
        <f t="shared" si="27"/>
        <v>40000</v>
      </c>
      <c r="AB68" s="44">
        <f t="shared" si="27"/>
        <v>0</v>
      </c>
      <c r="AC68" s="44">
        <f t="shared" si="27"/>
        <v>0</v>
      </c>
      <c r="AD68" s="44">
        <f t="shared" si="27"/>
        <v>1744493</v>
      </c>
      <c r="AE68" s="44">
        <f t="shared" si="27"/>
        <v>1845350</v>
      </c>
      <c r="AF68" s="44">
        <f t="shared" si="27"/>
        <v>1970300</v>
      </c>
      <c r="AG68" s="44">
        <f t="shared" si="27"/>
        <v>1762350</v>
      </c>
      <c r="AH68" s="44">
        <f t="shared" si="27"/>
        <v>1763000</v>
      </c>
      <c r="AI68" s="45">
        <f>AF68/AE68*1-1</f>
        <v>6.7710732381391026E-2</v>
      </c>
      <c r="AJ68" s="44">
        <f t="shared" si="23"/>
        <v>124950</v>
      </c>
      <c r="AK68" s="44">
        <f t="shared" ref="AK68:AQ68" si="28">SUM(AK69,AK74,AK80,AK86)</f>
        <v>654000</v>
      </c>
      <c r="AL68" s="44">
        <f t="shared" si="28"/>
        <v>0</v>
      </c>
      <c r="AM68" s="44">
        <f t="shared" si="28"/>
        <v>60000</v>
      </c>
      <c r="AN68" s="44">
        <f t="shared" si="28"/>
        <v>1012000</v>
      </c>
      <c r="AO68" s="44">
        <f t="shared" si="28"/>
        <v>37000</v>
      </c>
      <c r="AP68" s="44">
        <f t="shared" si="28"/>
        <v>0</v>
      </c>
      <c r="AQ68" s="44">
        <f t="shared" si="28"/>
        <v>0</v>
      </c>
    </row>
    <row r="69" spans="1:43" hidden="1" x14ac:dyDescent="0.35">
      <c r="A69" s="9" t="s">
        <v>145</v>
      </c>
      <c r="B69" s="9"/>
      <c r="C69" s="9"/>
      <c r="D69" s="9"/>
      <c r="E69" s="9"/>
      <c r="F69" s="9"/>
      <c r="G69" s="10" t="s">
        <v>13</v>
      </c>
      <c r="H69" s="9">
        <v>848297</v>
      </c>
      <c r="I69" s="9"/>
      <c r="J69" s="9">
        <v>887106</v>
      </c>
      <c r="K69" s="9"/>
      <c r="L69" s="9">
        <v>913840</v>
      </c>
      <c r="M69" s="9">
        <f>SUM(M70:M73)</f>
        <v>984109.15</v>
      </c>
      <c r="N69" s="15">
        <v>966400</v>
      </c>
      <c r="O69" s="11">
        <f>N69/L69*1-1</f>
        <v>5.7515538825177348E-2</v>
      </c>
      <c r="P69" s="9">
        <f>N69-L69</f>
        <v>52560</v>
      </c>
      <c r="Q69" s="9">
        <f>SUM(Q70:Q73)</f>
        <v>567938.82000000007</v>
      </c>
      <c r="R69" s="9">
        <v>968000</v>
      </c>
      <c r="S69" s="15">
        <v>1043500</v>
      </c>
      <c r="T69" s="11">
        <f>S69/N69*1-1</f>
        <v>7.9780629139072801E-2</v>
      </c>
      <c r="U69" s="9">
        <f>S69-N69</f>
        <v>77100</v>
      </c>
      <c r="V69" s="9">
        <f>SUM(V70:V73)</f>
        <v>969768</v>
      </c>
      <c r="W69" s="9">
        <f>SUM(W70:W73)</f>
        <v>973628</v>
      </c>
      <c r="X69" s="95">
        <v>968000</v>
      </c>
      <c r="Y69" s="15"/>
      <c r="Z69" s="15">
        <v>1043500</v>
      </c>
      <c r="AA69" s="15"/>
      <c r="AB69" s="15"/>
      <c r="AC69" s="15"/>
      <c r="AD69" s="9">
        <f>SUM(AD71:AD73)</f>
        <v>1127803</v>
      </c>
      <c r="AE69" s="9">
        <f>SUM(AE71:AE73)</f>
        <v>1168660</v>
      </c>
      <c r="AF69" s="15">
        <f>SUM(AF71:AF73)</f>
        <v>1240600</v>
      </c>
      <c r="AG69" s="15">
        <f>SUM(AG71:AG73)</f>
        <v>1012350</v>
      </c>
      <c r="AH69" s="15">
        <f>SUM(AH71:AH73)</f>
        <v>1012000</v>
      </c>
      <c r="AI69" s="20">
        <f>AF69/AE69*1-1</f>
        <v>6.1557681447127477E-2</v>
      </c>
      <c r="AJ69" s="68">
        <f t="shared" si="23"/>
        <v>71940</v>
      </c>
      <c r="AK69" s="15"/>
      <c r="AL69" s="15"/>
      <c r="AM69" s="15"/>
      <c r="AN69" s="15">
        <f>SUM(AH69)</f>
        <v>1012000</v>
      </c>
      <c r="AO69" s="15"/>
      <c r="AP69" s="15"/>
      <c r="AQ69" s="15"/>
    </row>
    <row r="70" spans="1:43" hidden="1" x14ac:dyDescent="0.35">
      <c r="A70" s="8"/>
      <c r="B70" s="8"/>
      <c r="C70" s="8"/>
      <c r="D70" s="8"/>
      <c r="E70" s="8"/>
      <c r="F70" s="8"/>
      <c r="G70" s="29" t="s">
        <v>58</v>
      </c>
      <c r="H70" s="8"/>
      <c r="I70" s="8"/>
      <c r="J70" s="8"/>
      <c r="K70" s="8"/>
      <c r="L70" s="8"/>
      <c r="M70" s="8"/>
      <c r="N70" s="46"/>
      <c r="O70" s="37"/>
      <c r="P70" s="8"/>
      <c r="Q70" s="8"/>
      <c r="R70" s="46"/>
      <c r="S70" s="46"/>
      <c r="T70" s="37"/>
      <c r="U70" s="8"/>
      <c r="V70" s="46"/>
      <c r="W70" s="46"/>
      <c r="X70" s="9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37"/>
      <c r="AJ70" s="8"/>
      <c r="AK70" s="46"/>
      <c r="AL70" s="46"/>
      <c r="AM70" s="46"/>
      <c r="AN70" s="46"/>
      <c r="AO70" s="46"/>
      <c r="AP70" s="46"/>
      <c r="AQ70" s="46"/>
    </row>
    <row r="71" spans="1:43" hidden="1" x14ac:dyDescent="0.35">
      <c r="A71" s="8"/>
      <c r="B71" s="8"/>
      <c r="C71" s="8"/>
      <c r="D71" s="8"/>
      <c r="E71" s="8"/>
      <c r="F71" s="8"/>
      <c r="G71" s="29" t="s">
        <v>70</v>
      </c>
      <c r="H71" s="8"/>
      <c r="I71" s="8"/>
      <c r="J71" s="8"/>
      <c r="K71" s="8"/>
      <c r="L71" s="8"/>
      <c r="M71" s="8">
        <v>176411.11</v>
      </c>
      <c r="N71" s="46"/>
      <c r="O71" s="37"/>
      <c r="P71" s="8"/>
      <c r="Q71" s="8">
        <v>114047.88</v>
      </c>
      <c r="R71" s="46">
        <v>153566</v>
      </c>
      <c r="S71" s="46">
        <v>199673</v>
      </c>
      <c r="T71" s="37"/>
      <c r="U71" s="8"/>
      <c r="V71" s="46">
        <v>154566</v>
      </c>
      <c r="W71" s="46">
        <v>156566</v>
      </c>
      <c r="X71" s="96"/>
      <c r="Y71" s="46"/>
      <c r="Z71" s="46"/>
      <c r="AA71" s="46"/>
      <c r="AB71" s="46"/>
      <c r="AC71" s="46"/>
      <c r="AD71" s="46">
        <v>210713</v>
      </c>
      <c r="AE71" s="46">
        <v>244070</v>
      </c>
      <c r="AF71" s="46">
        <v>193600</v>
      </c>
      <c r="AG71" s="46">
        <v>164310</v>
      </c>
      <c r="AH71" s="46">
        <v>164300</v>
      </c>
      <c r="AI71" s="12">
        <f>AF71/AE71*1-1</f>
        <v>-0.2067849387470807</v>
      </c>
      <c r="AJ71" s="69">
        <f>AF71-AE71</f>
        <v>-50470</v>
      </c>
      <c r="AK71" s="46"/>
      <c r="AL71" s="46"/>
      <c r="AM71" s="46"/>
      <c r="AN71" s="46"/>
      <c r="AO71" s="46"/>
      <c r="AP71" s="46"/>
      <c r="AQ71" s="46"/>
    </row>
    <row r="72" spans="1:43" hidden="1" x14ac:dyDescent="0.35">
      <c r="A72" s="8"/>
      <c r="B72" s="8"/>
      <c r="C72" s="8"/>
      <c r="D72" s="8"/>
      <c r="E72" s="8"/>
      <c r="F72" s="8"/>
      <c r="G72" s="29" t="s">
        <v>71</v>
      </c>
      <c r="H72" s="8"/>
      <c r="I72" s="8"/>
      <c r="J72" s="8"/>
      <c r="K72" s="8"/>
      <c r="L72" s="8"/>
      <c r="M72" s="8">
        <v>101555.5</v>
      </c>
      <c r="N72" s="46"/>
      <c r="O72" s="37"/>
      <c r="P72" s="8"/>
      <c r="Q72" s="8">
        <v>64432.95</v>
      </c>
      <c r="R72" s="46">
        <v>119412</v>
      </c>
      <c r="S72" s="46">
        <v>104597</v>
      </c>
      <c r="T72" s="37"/>
      <c r="U72" s="8"/>
      <c r="V72" s="46">
        <v>120002</v>
      </c>
      <c r="W72" s="46">
        <v>120162</v>
      </c>
      <c r="X72" s="96"/>
      <c r="Y72" s="46"/>
      <c r="Z72" s="46"/>
      <c r="AA72" s="46"/>
      <c r="AB72" s="46"/>
      <c r="AC72" s="46"/>
      <c r="AD72" s="46">
        <v>108090</v>
      </c>
      <c r="AE72" s="46">
        <v>96990</v>
      </c>
      <c r="AF72" s="46">
        <v>180150</v>
      </c>
      <c r="AG72" s="46">
        <v>16150</v>
      </c>
      <c r="AH72" s="46">
        <v>16100</v>
      </c>
      <c r="AI72" s="12">
        <f>AF72/AE72*1-1</f>
        <v>0.85740798020414477</v>
      </c>
      <c r="AJ72" s="69">
        <f>AF72-AE72</f>
        <v>83160</v>
      </c>
      <c r="AK72" s="46"/>
      <c r="AL72" s="46"/>
      <c r="AM72" s="46"/>
      <c r="AN72" s="46"/>
      <c r="AO72" s="46"/>
      <c r="AP72" s="46"/>
      <c r="AQ72" s="46"/>
    </row>
    <row r="73" spans="1:43" hidden="1" x14ac:dyDescent="0.35">
      <c r="A73" s="8"/>
      <c r="B73" s="8"/>
      <c r="C73" s="8"/>
      <c r="D73" s="8"/>
      <c r="E73" s="8"/>
      <c r="F73" s="8"/>
      <c r="G73" s="28" t="s">
        <v>72</v>
      </c>
      <c r="H73" s="8"/>
      <c r="I73" s="8"/>
      <c r="J73" s="8"/>
      <c r="K73" s="8"/>
      <c r="L73" s="8"/>
      <c r="M73" s="8">
        <v>706142.54</v>
      </c>
      <c r="N73" s="46"/>
      <c r="O73" s="37"/>
      <c r="P73" s="8"/>
      <c r="Q73" s="8">
        <v>389457.99</v>
      </c>
      <c r="R73" s="46">
        <v>694100</v>
      </c>
      <c r="S73" s="46">
        <v>739230</v>
      </c>
      <c r="T73" s="37"/>
      <c r="U73" s="8"/>
      <c r="V73" s="46">
        <v>695200</v>
      </c>
      <c r="W73" s="46">
        <v>696900</v>
      </c>
      <c r="X73" s="96"/>
      <c r="Y73" s="46"/>
      <c r="Z73" s="46"/>
      <c r="AA73" s="46"/>
      <c r="AB73" s="46"/>
      <c r="AC73" s="46"/>
      <c r="AD73" s="46">
        <v>809000</v>
      </c>
      <c r="AE73" s="46">
        <v>827600</v>
      </c>
      <c r="AF73" s="46">
        <v>866850</v>
      </c>
      <c r="AG73" s="46">
        <v>831890</v>
      </c>
      <c r="AH73" s="46">
        <v>831600</v>
      </c>
      <c r="AI73" s="12">
        <f>AF73/AE73*1-1</f>
        <v>4.7426292895118349E-2</v>
      </c>
      <c r="AJ73" s="69">
        <f>AF73-AE73</f>
        <v>39250</v>
      </c>
      <c r="AK73" s="46"/>
      <c r="AL73" s="46"/>
      <c r="AM73" s="46"/>
      <c r="AN73" s="46"/>
      <c r="AO73" s="46"/>
      <c r="AP73" s="46"/>
      <c r="AQ73" s="46"/>
    </row>
    <row r="74" spans="1:43" hidden="1" x14ac:dyDescent="0.35">
      <c r="A74" s="9" t="s">
        <v>146</v>
      </c>
      <c r="B74" s="9"/>
      <c r="C74" s="9"/>
      <c r="D74" s="9"/>
      <c r="E74" s="9"/>
      <c r="F74" s="9"/>
      <c r="G74" s="10" t="s">
        <v>34</v>
      </c>
      <c r="H74" s="9">
        <v>290</v>
      </c>
      <c r="I74" s="9"/>
      <c r="J74" s="9"/>
      <c r="K74" s="9"/>
      <c r="L74" s="9">
        <v>2000</v>
      </c>
      <c r="M74" s="9">
        <f>SUM(M75:M79)</f>
        <v>1625</v>
      </c>
      <c r="N74" s="9">
        <v>1000</v>
      </c>
      <c r="O74" s="11">
        <f>N74/L74*1-1</f>
        <v>-0.5</v>
      </c>
      <c r="P74" s="9">
        <f>N74-L74</f>
        <v>-1000</v>
      </c>
      <c r="Q74" s="9">
        <f>SUM(Q75:Q79)</f>
        <v>50124.2</v>
      </c>
      <c r="R74" s="9">
        <f t="shared" ref="R74:W74" si="29">SUM(R75:R79)</f>
        <v>94950</v>
      </c>
      <c r="S74" s="9">
        <v>95000</v>
      </c>
      <c r="T74" s="11">
        <f>S74/N74*1-1</f>
        <v>94</v>
      </c>
      <c r="U74" s="9">
        <f>S74-N74</f>
        <v>94000</v>
      </c>
      <c r="V74" s="9">
        <f t="shared" si="29"/>
        <v>168000</v>
      </c>
      <c r="W74" s="9">
        <f t="shared" si="29"/>
        <v>61000</v>
      </c>
      <c r="X74" s="96"/>
      <c r="Y74" s="9">
        <v>95000</v>
      </c>
      <c r="Z74" s="9"/>
      <c r="AA74" s="9"/>
      <c r="AB74" s="9"/>
      <c r="AC74" s="9"/>
      <c r="AD74" s="9">
        <f>SUM(AD75:AD79)</f>
        <v>80000</v>
      </c>
      <c r="AE74" s="9">
        <f>SUM(AE75:AE79)</f>
        <v>80000</v>
      </c>
      <c r="AF74" s="9">
        <f>SUM(AF75:AF79)</f>
        <v>61000</v>
      </c>
      <c r="AG74" s="9">
        <f>SUM(AG75:AG79)</f>
        <v>60000</v>
      </c>
      <c r="AH74" s="9">
        <f>SUM(AH75:AH79)</f>
        <v>60000</v>
      </c>
      <c r="AI74" s="20">
        <f>AF74/AE74*1-1</f>
        <v>-0.23750000000000004</v>
      </c>
      <c r="AJ74" s="68">
        <f>AF74-AE74</f>
        <v>-19000</v>
      </c>
      <c r="AK74" s="9">
        <f>SUM(AK76:AK79)</f>
        <v>0</v>
      </c>
      <c r="AL74" s="9">
        <f t="shared" ref="AL74:AM74" si="30">SUM(AL76:AL79)</f>
        <v>0</v>
      </c>
      <c r="AM74" s="9">
        <f t="shared" si="30"/>
        <v>60000</v>
      </c>
      <c r="AN74" s="9"/>
      <c r="AO74" s="9"/>
      <c r="AP74" s="9"/>
      <c r="AQ74" s="9"/>
    </row>
    <row r="75" spans="1:43" hidden="1" x14ac:dyDescent="0.35">
      <c r="A75" s="8"/>
      <c r="B75" s="8"/>
      <c r="C75" s="8"/>
      <c r="D75" s="8"/>
      <c r="E75" s="8"/>
      <c r="F75" s="8"/>
      <c r="G75" s="29" t="s">
        <v>58</v>
      </c>
      <c r="H75" s="8"/>
      <c r="I75" s="8"/>
      <c r="J75" s="8"/>
      <c r="K75" s="8"/>
      <c r="L75" s="8"/>
      <c r="M75" s="8"/>
      <c r="N75" s="8"/>
      <c r="O75" s="37"/>
      <c r="P75" s="8"/>
      <c r="Q75" s="8"/>
      <c r="R75" s="8"/>
      <c r="S75" s="8"/>
      <c r="T75" s="37"/>
      <c r="U75" s="8"/>
      <c r="V75" s="8"/>
      <c r="W75" s="8"/>
      <c r="X75" s="96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37"/>
      <c r="AJ75" s="8"/>
      <c r="AK75" s="8"/>
      <c r="AL75" s="8"/>
      <c r="AM75" s="8"/>
      <c r="AN75" s="8"/>
      <c r="AO75" s="8"/>
      <c r="AP75" s="8"/>
      <c r="AQ75" s="8"/>
    </row>
    <row r="76" spans="1:43" ht="24.5" hidden="1" x14ac:dyDescent="0.35">
      <c r="A76" s="8"/>
      <c r="B76" s="8"/>
      <c r="C76" s="8"/>
      <c r="D76" s="8"/>
      <c r="E76" s="8"/>
      <c r="F76" s="8"/>
      <c r="G76" s="28" t="s">
        <v>80</v>
      </c>
      <c r="H76" s="8"/>
      <c r="I76" s="8"/>
      <c r="J76" s="8"/>
      <c r="K76" s="8"/>
      <c r="L76" s="8"/>
      <c r="M76" s="8"/>
      <c r="N76" s="8"/>
      <c r="O76" s="37"/>
      <c r="P76" s="8"/>
      <c r="Q76" s="8">
        <v>50103</v>
      </c>
      <c r="R76" s="8">
        <v>50000</v>
      </c>
      <c r="S76" s="8"/>
      <c r="T76" s="37"/>
      <c r="U76" s="8"/>
      <c r="V76" s="8">
        <v>30000</v>
      </c>
      <c r="W76" s="8">
        <v>10000</v>
      </c>
      <c r="X76" s="96"/>
      <c r="Y76" s="8"/>
      <c r="Z76" s="8"/>
      <c r="AA76" s="8"/>
      <c r="AB76" s="8"/>
      <c r="AC76" s="8"/>
      <c r="AD76" s="8">
        <v>80000</v>
      </c>
      <c r="AE76" s="8">
        <v>80000</v>
      </c>
      <c r="AF76" s="8">
        <v>61000</v>
      </c>
      <c r="AG76" s="8">
        <v>60000</v>
      </c>
      <c r="AH76" s="8">
        <v>60000</v>
      </c>
      <c r="AI76" s="12">
        <f>AF76/AE76*1-1</f>
        <v>-0.23750000000000004</v>
      </c>
      <c r="AJ76" s="69">
        <f>AF76-AE76</f>
        <v>-19000</v>
      </c>
      <c r="AK76" s="8"/>
      <c r="AL76" s="8"/>
      <c r="AM76" s="8">
        <f>AH76</f>
        <v>60000</v>
      </c>
      <c r="AN76" s="8"/>
      <c r="AO76" s="8"/>
      <c r="AP76" s="8"/>
      <c r="AQ76" s="8"/>
    </row>
    <row r="77" spans="1:43" hidden="1" x14ac:dyDescent="0.35">
      <c r="A77" s="8"/>
      <c r="B77" s="8"/>
      <c r="C77" s="8"/>
      <c r="D77" s="8"/>
      <c r="E77" s="8"/>
      <c r="F77" s="8"/>
      <c r="G77" s="29" t="s">
        <v>81</v>
      </c>
      <c r="H77" s="8"/>
      <c r="I77" s="8"/>
      <c r="J77" s="8"/>
      <c r="K77" s="8"/>
      <c r="L77" s="8"/>
      <c r="M77" s="8"/>
      <c r="N77" s="8"/>
      <c r="O77" s="37"/>
      <c r="P77" s="8"/>
      <c r="Q77" s="8"/>
      <c r="R77" s="8">
        <v>43300</v>
      </c>
      <c r="S77" s="8"/>
      <c r="T77" s="37"/>
      <c r="U77" s="8"/>
      <c r="V77" s="8">
        <v>135000</v>
      </c>
      <c r="W77" s="8">
        <v>50000</v>
      </c>
      <c r="X77" s="96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37"/>
      <c r="AJ77" s="8"/>
      <c r="AK77" s="8"/>
      <c r="AL77" s="8"/>
      <c r="AM77" s="8"/>
      <c r="AN77" s="8"/>
      <c r="AO77" s="8"/>
      <c r="AP77" s="8"/>
      <c r="AQ77" s="8"/>
    </row>
    <row r="78" spans="1:43" hidden="1" x14ac:dyDescent="0.35">
      <c r="A78" s="8"/>
      <c r="B78" s="8"/>
      <c r="C78" s="8"/>
      <c r="D78" s="8"/>
      <c r="E78" s="8"/>
      <c r="F78" s="8"/>
      <c r="G78" s="29" t="s">
        <v>73</v>
      </c>
      <c r="H78" s="8"/>
      <c r="I78" s="8"/>
      <c r="J78" s="8"/>
      <c r="K78" s="8"/>
      <c r="L78" s="8"/>
      <c r="M78" s="8"/>
      <c r="N78" s="8"/>
      <c r="O78" s="37"/>
      <c r="P78" s="8"/>
      <c r="Q78" s="8">
        <v>21.2</v>
      </c>
      <c r="R78" s="8"/>
      <c r="S78" s="8"/>
      <c r="T78" s="37"/>
      <c r="U78" s="8"/>
      <c r="V78" s="8"/>
      <c r="W78" s="8"/>
      <c r="X78" s="96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37"/>
      <c r="AJ78" s="8"/>
      <c r="AK78" s="8"/>
      <c r="AL78" s="8"/>
      <c r="AM78" s="8"/>
      <c r="AN78" s="8"/>
      <c r="AO78" s="8"/>
      <c r="AP78" s="8"/>
      <c r="AQ78" s="8"/>
    </row>
    <row r="79" spans="1:43" hidden="1" x14ac:dyDescent="0.35">
      <c r="A79" s="8"/>
      <c r="B79" s="8"/>
      <c r="C79" s="8"/>
      <c r="D79" s="8"/>
      <c r="E79" s="8"/>
      <c r="F79" s="8"/>
      <c r="G79" s="29" t="s">
        <v>68</v>
      </c>
      <c r="H79" s="8"/>
      <c r="I79" s="8"/>
      <c r="J79" s="8"/>
      <c r="K79" s="8"/>
      <c r="L79" s="8"/>
      <c r="M79" s="8">
        <v>1625</v>
      </c>
      <c r="N79" s="8"/>
      <c r="O79" s="37"/>
      <c r="P79" s="8"/>
      <c r="Q79" s="8"/>
      <c r="R79" s="8">
        <v>1650</v>
      </c>
      <c r="S79" s="8"/>
      <c r="T79" s="37"/>
      <c r="U79" s="8"/>
      <c r="V79" s="8">
        <v>3000</v>
      </c>
      <c r="W79" s="8">
        <v>1000</v>
      </c>
      <c r="X79" s="96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37"/>
      <c r="AJ79" s="8"/>
      <c r="AK79" s="8"/>
      <c r="AL79" s="8"/>
      <c r="AM79" s="8"/>
      <c r="AN79" s="8"/>
      <c r="AO79" s="8"/>
      <c r="AP79" s="8"/>
      <c r="AQ79" s="8"/>
    </row>
    <row r="80" spans="1:43" hidden="1" x14ac:dyDescent="0.35">
      <c r="A80" s="9" t="s">
        <v>147</v>
      </c>
      <c r="B80" s="9"/>
      <c r="C80" s="9"/>
      <c r="D80" s="9"/>
      <c r="E80" s="9"/>
      <c r="F80" s="9"/>
      <c r="G80" s="10" t="s">
        <v>14</v>
      </c>
      <c r="H80" s="9">
        <v>49235</v>
      </c>
      <c r="I80" s="9"/>
      <c r="J80" s="9">
        <v>44022</v>
      </c>
      <c r="K80" s="9"/>
      <c r="L80" s="9">
        <v>41130</v>
      </c>
      <c r="M80" s="9">
        <f>SUM(M81:M85)</f>
        <v>48532.97</v>
      </c>
      <c r="N80" s="15">
        <v>41000</v>
      </c>
      <c r="O80" s="11">
        <f>N80/L80*1-1</f>
        <v>-3.1607099440797981E-3</v>
      </c>
      <c r="P80" s="9">
        <f>N80-L80</f>
        <v>-130</v>
      </c>
      <c r="Q80" s="9">
        <f>SUM(Q81:Q85)</f>
        <v>37207.259999999995</v>
      </c>
      <c r="R80" s="9">
        <f t="shared" ref="R80:W80" si="31">SUM(R81:R85)</f>
        <v>39800</v>
      </c>
      <c r="S80" s="15">
        <v>40000</v>
      </c>
      <c r="T80" s="11">
        <f>S80/N80*1-1</f>
        <v>-2.4390243902439046E-2</v>
      </c>
      <c r="U80" s="9">
        <f>S80-N80</f>
        <v>-1000</v>
      </c>
      <c r="V80" s="9">
        <f t="shared" si="31"/>
        <v>39300</v>
      </c>
      <c r="W80" s="9">
        <f t="shared" si="31"/>
        <v>39100</v>
      </c>
      <c r="X80" s="96"/>
      <c r="Y80" s="15"/>
      <c r="Z80" s="15"/>
      <c r="AA80" s="15">
        <v>40000</v>
      </c>
      <c r="AB80" s="15"/>
      <c r="AC80" s="15"/>
      <c r="AD80" s="9">
        <f>SUM(AD81:AD85)</f>
        <v>39000</v>
      </c>
      <c r="AE80" s="9">
        <f>SUM(AE81:AE85)</f>
        <v>39000</v>
      </c>
      <c r="AF80" s="9">
        <f>SUM(AF81:AF85)</f>
        <v>37000</v>
      </c>
      <c r="AG80" s="9">
        <f>SUM(AG81:AG85)</f>
        <v>37000</v>
      </c>
      <c r="AH80" s="9">
        <f>SUM(AH81:AH85)</f>
        <v>37000</v>
      </c>
      <c r="AI80" s="20">
        <f>AF80/AE80*1-1</f>
        <v>-5.1282051282051322E-2</v>
      </c>
      <c r="AJ80" s="68">
        <f>AF80-AE80</f>
        <v>-2000</v>
      </c>
      <c r="AK80" s="15"/>
      <c r="AL80" s="15"/>
      <c r="AM80" s="15"/>
      <c r="AN80" s="15"/>
      <c r="AO80" s="15">
        <f>SUM(AH80)</f>
        <v>37000</v>
      </c>
      <c r="AP80" s="15"/>
      <c r="AQ80" s="15"/>
    </row>
    <row r="81" spans="1:43" hidden="1" x14ac:dyDescent="0.35">
      <c r="A81" s="9" t="s">
        <v>146</v>
      </c>
      <c r="B81" s="8"/>
      <c r="C81" s="8"/>
      <c r="D81" s="8"/>
      <c r="E81" s="8"/>
      <c r="F81" s="8"/>
      <c r="G81" s="29" t="s">
        <v>58</v>
      </c>
      <c r="H81" s="8"/>
      <c r="I81" s="8"/>
      <c r="J81" s="8"/>
      <c r="K81" s="8"/>
      <c r="L81" s="8"/>
      <c r="M81" s="8"/>
      <c r="N81" s="46"/>
      <c r="O81" s="37"/>
      <c r="P81" s="8"/>
      <c r="Q81" s="8"/>
      <c r="R81" s="46"/>
      <c r="S81" s="46"/>
      <c r="T81" s="37"/>
      <c r="U81" s="8"/>
      <c r="V81" s="46"/>
      <c r="W81" s="46"/>
      <c r="X81" s="9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37"/>
      <c r="AJ81" s="8"/>
      <c r="AK81" s="46"/>
      <c r="AL81" s="46"/>
      <c r="AM81" s="46"/>
      <c r="AN81" s="46"/>
      <c r="AO81" s="46"/>
      <c r="AP81" s="46"/>
      <c r="AQ81" s="46"/>
    </row>
    <row r="82" spans="1:43" hidden="1" x14ac:dyDescent="0.35">
      <c r="A82" s="9" t="s">
        <v>146</v>
      </c>
      <c r="B82" s="8"/>
      <c r="C82" s="8"/>
      <c r="D82" s="8"/>
      <c r="E82" s="8"/>
      <c r="F82" s="8"/>
      <c r="G82" s="29" t="s">
        <v>59</v>
      </c>
      <c r="H82" s="8"/>
      <c r="I82" s="8"/>
      <c r="J82" s="8"/>
      <c r="K82" s="8">
        <v>27861.45</v>
      </c>
      <c r="L82" s="8"/>
      <c r="M82" s="8">
        <v>26587.84</v>
      </c>
      <c r="N82" s="46"/>
      <c r="O82" s="37"/>
      <c r="P82" s="8"/>
      <c r="Q82" s="8">
        <v>24732.26</v>
      </c>
      <c r="R82" s="46">
        <v>26000</v>
      </c>
      <c r="S82" s="46"/>
      <c r="T82" s="37"/>
      <c r="U82" s="8"/>
      <c r="V82" s="46">
        <v>26000</v>
      </c>
      <c r="W82" s="46">
        <v>26000</v>
      </c>
      <c r="X82" s="96"/>
      <c r="Y82" s="46"/>
      <c r="Z82" s="46"/>
      <c r="AA82" s="46"/>
      <c r="AB82" s="46"/>
      <c r="AC82" s="46"/>
      <c r="AD82" s="46">
        <v>26000</v>
      </c>
      <c r="AE82" s="46">
        <v>26000</v>
      </c>
      <c r="AF82" s="46">
        <v>22000</v>
      </c>
      <c r="AG82" s="46">
        <v>22000</v>
      </c>
      <c r="AH82" s="46">
        <v>22000</v>
      </c>
      <c r="AI82" s="37"/>
      <c r="AJ82" s="8"/>
      <c r="AK82" s="46"/>
      <c r="AL82" s="46"/>
      <c r="AM82" s="46"/>
      <c r="AN82" s="46"/>
      <c r="AO82" s="46"/>
      <c r="AP82" s="46"/>
      <c r="AQ82" s="46"/>
    </row>
    <row r="83" spans="1:43" hidden="1" x14ac:dyDescent="0.35">
      <c r="A83" s="9" t="s">
        <v>146</v>
      </c>
      <c r="B83" s="8"/>
      <c r="C83" s="8"/>
      <c r="D83" s="8"/>
      <c r="E83" s="8"/>
      <c r="F83" s="8"/>
      <c r="G83" s="29" t="s">
        <v>67</v>
      </c>
      <c r="H83" s="8"/>
      <c r="I83" s="8"/>
      <c r="J83" s="8"/>
      <c r="K83" s="8"/>
      <c r="L83" s="8"/>
      <c r="M83" s="8">
        <v>16726.38</v>
      </c>
      <c r="N83" s="46"/>
      <c r="O83" s="37"/>
      <c r="P83" s="8"/>
      <c r="Q83" s="8">
        <v>5732.71</v>
      </c>
      <c r="R83" s="46">
        <v>12000</v>
      </c>
      <c r="S83" s="46"/>
      <c r="T83" s="37"/>
      <c r="U83" s="8"/>
      <c r="V83" s="46">
        <v>12000</v>
      </c>
      <c r="W83" s="46">
        <v>12000</v>
      </c>
      <c r="X83" s="96"/>
      <c r="Y83" s="46"/>
      <c r="Z83" s="46"/>
      <c r="AA83" s="46"/>
      <c r="AB83" s="46"/>
      <c r="AC83" s="46"/>
      <c r="AD83" s="46">
        <v>12200</v>
      </c>
      <c r="AE83" s="46">
        <v>12200</v>
      </c>
      <c r="AF83" s="46">
        <v>14200</v>
      </c>
      <c r="AG83" s="46">
        <v>14200</v>
      </c>
      <c r="AH83" s="46">
        <v>14200</v>
      </c>
      <c r="AI83" s="37"/>
      <c r="AJ83" s="8"/>
      <c r="AK83" s="46"/>
      <c r="AL83" s="46"/>
      <c r="AM83" s="46"/>
      <c r="AN83" s="46"/>
      <c r="AO83" s="46"/>
      <c r="AP83" s="46"/>
      <c r="AQ83" s="46"/>
    </row>
    <row r="84" spans="1:43" hidden="1" x14ac:dyDescent="0.35">
      <c r="A84" s="9" t="s">
        <v>146</v>
      </c>
      <c r="B84" s="8"/>
      <c r="C84" s="8"/>
      <c r="D84" s="8"/>
      <c r="E84" s="8"/>
      <c r="F84" s="8"/>
      <c r="G84" s="29" t="s">
        <v>60</v>
      </c>
      <c r="H84" s="8"/>
      <c r="I84" s="8"/>
      <c r="J84" s="8"/>
      <c r="K84" s="8"/>
      <c r="L84" s="8"/>
      <c r="M84" s="8">
        <v>862.75</v>
      </c>
      <c r="N84" s="46"/>
      <c r="O84" s="37"/>
      <c r="P84" s="8"/>
      <c r="Q84" s="8">
        <v>874.29</v>
      </c>
      <c r="R84" s="46">
        <v>800</v>
      </c>
      <c r="S84" s="46"/>
      <c r="T84" s="37"/>
      <c r="U84" s="8"/>
      <c r="V84" s="46">
        <v>800</v>
      </c>
      <c r="W84" s="46">
        <v>800</v>
      </c>
      <c r="X84" s="96"/>
      <c r="Y84" s="46"/>
      <c r="Z84" s="46"/>
      <c r="AA84" s="46"/>
      <c r="AB84" s="46"/>
      <c r="AC84" s="46"/>
      <c r="AD84" s="46">
        <v>800</v>
      </c>
      <c r="AE84" s="46">
        <v>800</v>
      </c>
      <c r="AF84" s="46">
        <v>800</v>
      </c>
      <c r="AG84" s="46">
        <v>800</v>
      </c>
      <c r="AH84" s="46">
        <v>800</v>
      </c>
      <c r="AI84" s="37"/>
      <c r="AJ84" s="8"/>
      <c r="AK84" s="46"/>
      <c r="AL84" s="46"/>
      <c r="AM84" s="46"/>
      <c r="AN84" s="46"/>
      <c r="AO84" s="46"/>
      <c r="AP84" s="46"/>
      <c r="AQ84" s="46"/>
    </row>
    <row r="85" spans="1:43" hidden="1" x14ac:dyDescent="0.35">
      <c r="A85" s="9" t="s">
        <v>146</v>
      </c>
      <c r="B85" s="8"/>
      <c r="C85" s="8"/>
      <c r="D85" s="8"/>
      <c r="E85" s="8"/>
      <c r="F85" s="8"/>
      <c r="G85" s="29" t="s">
        <v>61</v>
      </c>
      <c r="H85" s="8"/>
      <c r="I85" s="8"/>
      <c r="J85" s="8"/>
      <c r="K85" s="8"/>
      <c r="L85" s="8"/>
      <c r="M85" s="8">
        <v>4356</v>
      </c>
      <c r="N85" s="46"/>
      <c r="O85" s="37"/>
      <c r="P85" s="8"/>
      <c r="Q85" s="8">
        <v>5868</v>
      </c>
      <c r="R85" s="46">
        <v>1000</v>
      </c>
      <c r="S85" s="46"/>
      <c r="T85" s="37"/>
      <c r="U85" s="8"/>
      <c r="V85" s="46">
        <v>500</v>
      </c>
      <c r="W85" s="46">
        <v>300</v>
      </c>
      <c r="X85" s="9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37"/>
      <c r="AJ85" s="8"/>
      <c r="AK85" s="46"/>
      <c r="AL85" s="46"/>
      <c r="AM85" s="46"/>
      <c r="AN85" s="46"/>
      <c r="AO85" s="46"/>
      <c r="AP85" s="46"/>
      <c r="AQ85" s="46"/>
    </row>
    <row r="86" spans="1:43" hidden="1" x14ac:dyDescent="0.35">
      <c r="A86" s="9" t="s">
        <v>148</v>
      </c>
      <c r="B86" s="9"/>
      <c r="C86" s="9"/>
      <c r="D86" s="9"/>
      <c r="E86" s="9"/>
      <c r="F86" s="9"/>
      <c r="G86" s="10" t="s">
        <v>16</v>
      </c>
      <c r="H86" s="9">
        <v>2896</v>
      </c>
      <c r="I86" s="9"/>
      <c r="J86" s="9">
        <v>6082</v>
      </c>
      <c r="K86" s="9">
        <v>12314.08</v>
      </c>
      <c r="L86" s="9">
        <v>5000</v>
      </c>
      <c r="M86" s="9">
        <f>SUM(M88:M94)</f>
        <v>8991.4</v>
      </c>
      <c r="N86" s="9">
        <v>5000</v>
      </c>
      <c r="O86" s="11">
        <f>N86/L86*1-1</f>
        <v>0</v>
      </c>
      <c r="P86" s="9">
        <f>N86-L86</f>
        <v>0</v>
      </c>
      <c r="Q86" s="9">
        <f>SUM(Q88:Q94)</f>
        <v>5342.19</v>
      </c>
      <c r="R86" s="9">
        <f t="shared" ref="R86:W86" si="32">SUM(R88:R94)</f>
        <v>877900</v>
      </c>
      <c r="S86" s="9">
        <v>532500</v>
      </c>
      <c r="T86" s="11">
        <f>S86/N86*1-1</f>
        <v>105.5</v>
      </c>
      <c r="U86" s="9">
        <f>S86-N86</f>
        <v>527500</v>
      </c>
      <c r="V86" s="9">
        <f t="shared" si="32"/>
        <v>1005700</v>
      </c>
      <c r="W86" s="9">
        <f t="shared" si="32"/>
        <v>1105600</v>
      </c>
      <c r="X86" s="95">
        <v>608000</v>
      </c>
      <c r="Y86" s="9">
        <v>532500</v>
      </c>
      <c r="Z86" s="9"/>
      <c r="AA86" s="9"/>
      <c r="AB86" s="9"/>
      <c r="AC86" s="9"/>
      <c r="AD86" s="9">
        <f>SUM(AD88:AD94)</f>
        <v>497690</v>
      </c>
      <c r="AE86" s="9">
        <f>SUM(AE88:AE94)</f>
        <v>557690</v>
      </c>
      <c r="AF86" s="9">
        <f>SUM(AF88:AF94)</f>
        <v>631700</v>
      </c>
      <c r="AG86" s="9">
        <f>SUM(AG88:AG94)</f>
        <v>653000</v>
      </c>
      <c r="AH86" s="9">
        <f>SUM(AH88:AH94)</f>
        <v>654000</v>
      </c>
      <c r="AI86" s="20">
        <f>AF86/AE86*1-1</f>
        <v>0.13270813534400827</v>
      </c>
      <c r="AJ86" s="68">
        <f>AF86-AE86</f>
        <v>74010</v>
      </c>
      <c r="AK86" s="9">
        <f>SUM(AH86)</f>
        <v>654000</v>
      </c>
      <c r="AL86" s="9"/>
      <c r="AM86" s="9"/>
      <c r="AN86" s="9"/>
      <c r="AO86" s="9"/>
      <c r="AP86" s="9"/>
      <c r="AQ86" s="9"/>
    </row>
    <row r="87" spans="1:43" hidden="1" x14ac:dyDescent="0.35">
      <c r="A87" s="8"/>
      <c r="B87" s="8"/>
      <c r="C87" s="8"/>
      <c r="D87" s="8"/>
      <c r="E87" s="8"/>
      <c r="F87" s="8"/>
      <c r="G87" s="29" t="s">
        <v>58</v>
      </c>
      <c r="H87" s="8"/>
      <c r="I87" s="8"/>
      <c r="J87" s="8"/>
      <c r="K87" s="8"/>
      <c r="L87" s="8"/>
      <c r="M87" s="8"/>
      <c r="N87" s="8"/>
      <c r="O87" s="37"/>
      <c r="P87" s="8"/>
      <c r="Q87" s="8"/>
      <c r="R87" s="8"/>
      <c r="S87" s="8"/>
      <c r="T87" s="37"/>
      <c r="U87" s="8"/>
      <c r="V87" s="8"/>
      <c r="W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37"/>
      <c r="AJ87" s="8"/>
      <c r="AK87" s="8"/>
      <c r="AL87" s="8"/>
      <c r="AM87" s="8"/>
      <c r="AN87" s="8"/>
      <c r="AO87" s="8"/>
      <c r="AP87" s="8"/>
      <c r="AQ87" s="8"/>
    </row>
    <row r="88" spans="1:43" hidden="1" x14ac:dyDescent="0.35">
      <c r="A88" s="8"/>
      <c r="B88" s="8"/>
      <c r="C88" s="8"/>
      <c r="D88" s="8"/>
      <c r="E88" s="8"/>
      <c r="F88" s="8"/>
      <c r="G88" s="29" t="s">
        <v>54</v>
      </c>
      <c r="H88" s="8"/>
      <c r="I88" s="8"/>
      <c r="J88" s="8"/>
      <c r="K88" s="8"/>
      <c r="L88" s="8"/>
      <c r="M88" s="8"/>
      <c r="N88" s="8"/>
      <c r="O88" s="37"/>
      <c r="P88" s="8"/>
      <c r="Q88" s="8"/>
      <c r="R88" s="8">
        <v>100</v>
      </c>
      <c r="S88" s="8"/>
      <c r="T88" s="37"/>
      <c r="U88" s="8"/>
      <c r="V88" s="8">
        <v>100</v>
      </c>
      <c r="W88" s="8">
        <v>100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37"/>
      <c r="AJ88" s="8"/>
      <c r="AK88" s="8"/>
      <c r="AL88" s="8"/>
      <c r="AM88" s="8"/>
      <c r="AN88" s="8"/>
      <c r="AO88" s="8"/>
      <c r="AP88" s="8"/>
      <c r="AQ88" s="8"/>
    </row>
    <row r="89" spans="1:43" hidden="1" x14ac:dyDescent="0.35">
      <c r="A89" s="8"/>
      <c r="B89" s="8"/>
      <c r="C89" s="8"/>
      <c r="D89" s="8"/>
      <c r="E89" s="8"/>
      <c r="F89" s="8"/>
      <c r="G89" s="29" t="s">
        <v>66</v>
      </c>
      <c r="H89" s="8"/>
      <c r="I89" s="8"/>
      <c r="J89" s="8"/>
      <c r="K89" s="8"/>
      <c r="L89" s="8"/>
      <c r="M89" s="8">
        <v>266</v>
      </c>
      <c r="N89" s="8"/>
      <c r="O89" s="37"/>
      <c r="P89" s="8"/>
      <c r="Q89" s="8">
        <v>294</v>
      </c>
      <c r="R89" s="8"/>
      <c r="S89" s="8"/>
      <c r="T89" s="37"/>
      <c r="U89" s="8"/>
      <c r="V89" s="8"/>
      <c r="W89" s="8"/>
      <c r="Y89" s="8"/>
      <c r="Z89" s="8"/>
      <c r="AA89" s="8"/>
      <c r="AB89" s="8"/>
      <c r="AC89" s="8"/>
      <c r="AD89" s="8">
        <v>700</v>
      </c>
      <c r="AE89" s="8">
        <v>700</v>
      </c>
      <c r="AF89" s="8">
        <v>700</v>
      </c>
      <c r="AG89" s="8">
        <v>700</v>
      </c>
      <c r="AH89" s="8">
        <v>700</v>
      </c>
      <c r="AI89" s="37"/>
      <c r="AJ89" s="8"/>
      <c r="AK89" s="8"/>
      <c r="AL89" s="8"/>
      <c r="AM89" s="8"/>
      <c r="AN89" s="8"/>
      <c r="AO89" s="8"/>
      <c r="AP89" s="8"/>
      <c r="AQ89" s="8"/>
    </row>
    <row r="90" spans="1:43" hidden="1" x14ac:dyDescent="0.35">
      <c r="A90" s="8"/>
      <c r="B90" s="8"/>
      <c r="C90" s="8"/>
      <c r="D90" s="8"/>
      <c r="E90" s="8"/>
      <c r="F90" s="8"/>
      <c r="G90" s="29" t="s">
        <v>63</v>
      </c>
      <c r="H90" s="8"/>
      <c r="I90" s="8"/>
      <c r="J90" s="8"/>
      <c r="K90" s="8"/>
      <c r="L90" s="8"/>
      <c r="M90" s="8">
        <v>3038.7</v>
      </c>
      <c r="N90" s="8"/>
      <c r="O90" s="37"/>
      <c r="P90" s="8"/>
      <c r="Q90" s="8">
        <v>2506.79</v>
      </c>
      <c r="R90" s="8">
        <v>3000</v>
      </c>
      <c r="S90" s="8"/>
      <c r="T90" s="37"/>
      <c r="U90" s="8"/>
      <c r="V90" s="8">
        <v>3000</v>
      </c>
      <c r="W90" s="8">
        <v>3000</v>
      </c>
      <c r="Y90" s="8"/>
      <c r="Z90" s="8"/>
      <c r="AA90" s="8"/>
      <c r="AB90" s="8"/>
      <c r="AC90" s="8"/>
      <c r="AD90" s="8">
        <v>2840</v>
      </c>
      <c r="AE90" s="8">
        <v>2840</v>
      </c>
      <c r="AF90" s="8">
        <v>2840</v>
      </c>
      <c r="AG90" s="8">
        <v>3200</v>
      </c>
      <c r="AH90" s="8">
        <v>3200</v>
      </c>
      <c r="AI90" s="37"/>
      <c r="AJ90" s="8"/>
      <c r="AK90" s="8"/>
      <c r="AL90" s="8"/>
      <c r="AM90" s="8"/>
      <c r="AN90" s="8"/>
      <c r="AO90" s="8"/>
      <c r="AP90" s="8"/>
      <c r="AQ90" s="8"/>
    </row>
    <row r="91" spans="1:43" hidden="1" x14ac:dyDescent="0.35">
      <c r="A91" s="8"/>
      <c r="B91" s="8"/>
      <c r="C91" s="8"/>
      <c r="D91" s="8"/>
      <c r="E91" s="8"/>
      <c r="F91" s="8"/>
      <c r="G91" s="29" t="s">
        <v>64</v>
      </c>
      <c r="H91" s="8"/>
      <c r="I91" s="8"/>
      <c r="J91" s="8"/>
      <c r="K91" s="8"/>
      <c r="L91" s="8"/>
      <c r="M91" s="8">
        <v>4021</v>
      </c>
      <c r="N91" s="8"/>
      <c r="O91" s="37"/>
      <c r="P91" s="8"/>
      <c r="Q91" s="8">
        <v>1574</v>
      </c>
      <c r="R91" s="8">
        <v>4000</v>
      </c>
      <c r="S91" s="8"/>
      <c r="T91" s="37"/>
      <c r="U91" s="8"/>
      <c r="V91" s="8">
        <v>2000</v>
      </c>
      <c r="W91" s="8">
        <v>2000</v>
      </c>
      <c r="Y91" s="8"/>
      <c r="Z91" s="8"/>
      <c r="AA91" s="8"/>
      <c r="AB91" s="8"/>
      <c r="AC91" s="8"/>
      <c r="AD91" s="8">
        <v>2000</v>
      </c>
      <c r="AE91" s="8">
        <v>2000</v>
      </c>
      <c r="AF91" s="8">
        <v>3000</v>
      </c>
      <c r="AG91" s="8">
        <v>4000</v>
      </c>
      <c r="AH91" s="8">
        <v>5000</v>
      </c>
      <c r="AI91" s="37"/>
      <c r="AJ91" s="8"/>
      <c r="AK91" s="8"/>
      <c r="AL91" s="8"/>
      <c r="AM91" s="8"/>
      <c r="AN91" s="8"/>
      <c r="AO91" s="8"/>
      <c r="AP91" s="8"/>
      <c r="AQ91" s="8"/>
    </row>
    <row r="92" spans="1:43" hidden="1" x14ac:dyDescent="0.35">
      <c r="A92" s="8"/>
      <c r="B92" s="8"/>
      <c r="C92" s="8"/>
      <c r="D92" s="8"/>
      <c r="E92" s="8"/>
      <c r="F92" s="8"/>
      <c r="G92" s="8" t="s">
        <v>65</v>
      </c>
      <c r="H92" s="8"/>
      <c r="I92" s="8"/>
      <c r="J92" s="8"/>
      <c r="K92" s="8"/>
      <c r="L92" s="8"/>
      <c r="M92" s="8">
        <v>1665.7</v>
      </c>
      <c r="N92" s="8"/>
      <c r="O92" s="37"/>
      <c r="P92" s="8"/>
      <c r="Q92" s="8">
        <v>967.4</v>
      </c>
      <c r="R92" s="8">
        <v>800</v>
      </c>
      <c r="S92" s="8"/>
      <c r="T92" s="37"/>
      <c r="U92" s="8"/>
      <c r="V92" s="8">
        <v>600</v>
      </c>
      <c r="W92" s="8">
        <v>500</v>
      </c>
      <c r="Y92" s="8"/>
      <c r="Z92" s="8"/>
      <c r="AA92" s="8"/>
      <c r="AB92" s="8"/>
      <c r="AC92" s="8"/>
      <c r="AD92" s="8">
        <v>2000</v>
      </c>
      <c r="AE92" s="8">
        <v>2000</v>
      </c>
      <c r="AF92" s="8">
        <v>2000</v>
      </c>
      <c r="AG92" s="8">
        <v>100</v>
      </c>
      <c r="AH92" s="8">
        <v>100</v>
      </c>
      <c r="AI92" s="37"/>
      <c r="AJ92" s="8"/>
      <c r="AK92" s="8"/>
      <c r="AL92" s="8"/>
      <c r="AM92" s="8"/>
      <c r="AN92" s="8"/>
      <c r="AO92" s="8"/>
      <c r="AP92" s="8"/>
      <c r="AQ92" s="8"/>
    </row>
    <row r="93" spans="1:43" hidden="1" x14ac:dyDescent="0.35">
      <c r="A93" s="8"/>
      <c r="B93" s="8"/>
      <c r="C93" s="8"/>
      <c r="D93" s="8"/>
      <c r="E93" s="8"/>
      <c r="F93" s="8"/>
      <c r="G93" s="8" t="s">
        <v>159</v>
      </c>
      <c r="H93" s="8"/>
      <c r="I93" s="8"/>
      <c r="J93" s="8"/>
      <c r="K93" s="8"/>
      <c r="L93" s="8"/>
      <c r="M93" s="8"/>
      <c r="N93" s="8"/>
      <c r="O93" s="37"/>
      <c r="P93" s="8"/>
      <c r="Q93" s="8"/>
      <c r="R93" s="8"/>
      <c r="S93" s="8"/>
      <c r="T93" s="37"/>
      <c r="U93" s="8"/>
      <c r="V93" s="8"/>
      <c r="W93" s="8"/>
      <c r="Y93" s="8"/>
      <c r="Z93" s="8"/>
      <c r="AA93" s="8"/>
      <c r="AB93" s="8"/>
      <c r="AC93" s="8"/>
      <c r="AD93" s="8">
        <v>150</v>
      </c>
      <c r="AE93" s="8">
        <v>150</v>
      </c>
      <c r="AF93" s="46">
        <v>160</v>
      </c>
      <c r="AG93" s="46"/>
      <c r="AH93" s="46"/>
      <c r="AI93" s="37"/>
      <c r="AJ93" s="8"/>
      <c r="AK93" s="8"/>
      <c r="AL93" s="8"/>
      <c r="AM93" s="8"/>
      <c r="AN93" s="8"/>
      <c r="AO93" s="8"/>
      <c r="AP93" s="8"/>
      <c r="AQ93" s="8"/>
    </row>
    <row r="94" spans="1:43" hidden="1" x14ac:dyDescent="0.35">
      <c r="A94" s="8"/>
      <c r="B94" s="8"/>
      <c r="C94" s="8"/>
      <c r="D94" s="8"/>
      <c r="E94" s="8"/>
      <c r="F94" s="8"/>
      <c r="G94" s="28" t="s">
        <v>79</v>
      </c>
      <c r="H94" s="8"/>
      <c r="I94" s="8"/>
      <c r="J94" s="8"/>
      <c r="K94" s="8"/>
      <c r="L94" s="8"/>
      <c r="M94" s="8"/>
      <c r="N94" s="8"/>
      <c r="O94" s="37"/>
      <c r="P94" s="8"/>
      <c r="Q94" s="8"/>
      <c r="R94" s="8">
        <v>870000</v>
      </c>
      <c r="S94" s="8"/>
      <c r="T94" s="37"/>
      <c r="U94" s="8"/>
      <c r="V94" s="8">
        <v>1000000</v>
      </c>
      <c r="W94" s="8">
        <v>1100000</v>
      </c>
      <c r="Y94" s="8"/>
      <c r="Z94" s="8"/>
      <c r="AA94" s="8"/>
      <c r="AB94" s="8"/>
      <c r="AC94" s="8"/>
      <c r="AD94" s="8">
        <v>490000</v>
      </c>
      <c r="AE94" s="8">
        <v>550000</v>
      </c>
      <c r="AF94" s="46">
        <v>623000</v>
      </c>
      <c r="AG94" s="46">
        <v>645000</v>
      </c>
      <c r="AH94" s="46">
        <v>645000</v>
      </c>
      <c r="AI94" s="37"/>
      <c r="AJ94" s="8"/>
      <c r="AK94" s="8"/>
      <c r="AL94" s="8"/>
      <c r="AM94" s="8"/>
      <c r="AN94" s="8"/>
      <c r="AO94" s="8"/>
      <c r="AP94" s="8"/>
      <c r="AQ94" s="8"/>
    </row>
    <row r="95" spans="1:43" ht="24.75" hidden="1" customHeight="1" x14ac:dyDescent="0.35">
      <c r="A95" s="5"/>
      <c r="B95" s="5"/>
      <c r="C95" s="5"/>
      <c r="D95" s="5"/>
      <c r="E95" s="5"/>
      <c r="F95" s="5"/>
      <c r="G95" s="6" t="s">
        <v>17</v>
      </c>
      <c r="H95" s="47" t="e">
        <f>SUM(H68:H86)</f>
        <v>#REF!</v>
      </c>
      <c r="I95" s="47"/>
      <c r="J95" s="47">
        <f>SUM(J50,J51,J54,J64,J68)</f>
        <v>16332545</v>
      </c>
      <c r="K95" s="47"/>
      <c r="L95" s="47">
        <f t="shared" ref="L95:AH95" si="33">SUM(L50,L51,L54,L64,L68)</f>
        <v>17934431</v>
      </c>
      <c r="M95" s="47">
        <f t="shared" si="33"/>
        <v>12245393.399999999</v>
      </c>
      <c r="N95" s="47">
        <f t="shared" si="33"/>
        <v>17434676</v>
      </c>
      <c r="O95" s="47">
        <f t="shared" si="33"/>
        <v>-2.3291949515900918</v>
      </c>
      <c r="P95" s="47">
        <f t="shared" si="33"/>
        <v>-543555</v>
      </c>
      <c r="Q95" s="47">
        <f t="shared" si="33"/>
        <v>660612.47</v>
      </c>
      <c r="R95" s="47">
        <f t="shared" si="33"/>
        <v>13486450</v>
      </c>
      <c r="S95" s="47">
        <f t="shared" si="33"/>
        <v>22508541</v>
      </c>
      <c r="T95" s="47">
        <f t="shared" si="33"/>
        <v>209.12791954198499</v>
      </c>
      <c r="U95" s="47">
        <f t="shared" si="33"/>
        <v>5073865</v>
      </c>
      <c r="V95" s="47">
        <f t="shared" si="33"/>
        <v>4839468</v>
      </c>
      <c r="W95" s="47">
        <f t="shared" si="33"/>
        <v>4836028</v>
      </c>
      <c r="X95" s="47">
        <f t="shared" si="33"/>
        <v>1576000</v>
      </c>
      <c r="Y95" s="47">
        <f t="shared" si="33"/>
        <v>15714500</v>
      </c>
      <c r="Z95" s="47">
        <f t="shared" si="33"/>
        <v>1043500</v>
      </c>
      <c r="AA95" s="47">
        <f t="shared" si="33"/>
        <v>40000</v>
      </c>
      <c r="AB95" s="47">
        <f t="shared" si="33"/>
        <v>5514915</v>
      </c>
      <c r="AC95" s="47">
        <f t="shared" si="33"/>
        <v>195626</v>
      </c>
      <c r="AD95" s="47">
        <f t="shared" si="33"/>
        <v>22440086</v>
      </c>
      <c r="AE95" s="47">
        <f t="shared" si="33"/>
        <v>24145527</v>
      </c>
      <c r="AF95" s="47">
        <f t="shared" si="33"/>
        <v>27889037</v>
      </c>
      <c r="AG95" s="47">
        <f t="shared" si="33"/>
        <v>1993910</v>
      </c>
      <c r="AH95" s="47">
        <f t="shared" si="33"/>
        <v>16938000</v>
      </c>
      <c r="AI95" s="48">
        <f t="shared" ref="AI95:AI100" si="34">AF95/AE95*1-1</f>
        <v>0.15503948205396378</v>
      </c>
      <c r="AJ95" s="47">
        <f t="shared" ref="AJ95:AQ95" si="35">SUM(AJ50,AJ51,AJ54,AJ64,AJ68)</f>
        <v>2216510</v>
      </c>
      <c r="AK95" s="47">
        <f t="shared" si="35"/>
        <v>14191070</v>
      </c>
      <c r="AL95" s="47">
        <f t="shared" si="35"/>
        <v>2176930</v>
      </c>
      <c r="AM95" s="47">
        <f t="shared" si="35"/>
        <v>60000</v>
      </c>
      <c r="AN95" s="47">
        <f t="shared" si="35"/>
        <v>1012000</v>
      </c>
      <c r="AO95" s="47">
        <f t="shared" si="35"/>
        <v>37000</v>
      </c>
      <c r="AP95" s="47">
        <f t="shared" si="35"/>
        <v>8622671</v>
      </c>
      <c r="AQ95" s="47">
        <f t="shared" si="35"/>
        <v>1226066</v>
      </c>
    </row>
    <row r="96" spans="1:43" ht="21" hidden="1" customHeight="1" x14ac:dyDescent="0.35">
      <c r="A96" s="24"/>
      <c r="B96" s="24"/>
      <c r="C96" s="24"/>
      <c r="D96" s="24"/>
      <c r="E96" s="24"/>
      <c r="F96" s="24"/>
      <c r="G96" s="27" t="s">
        <v>45</v>
      </c>
      <c r="H96" s="49">
        <v>596303</v>
      </c>
      <c r="I96" s="49"/>
      <c r="J96" s="49">
        <v>812350</v>
      </c>
      <c r="K96" s="49"/>
      <c r="L96" s="49">
        <v>609310</v>
      </c>
      <c r="M96" s="49"/>
      <c r="N96" s="49">
        <v>1370751</v>
      </c>
      <c r="O96" s="50"/>
      <c r="P96" s="49"/>
      <c r="Q96" s="49"/>
      <c r="R96" s="49">
        <v>1370751</v>
      </c>
      <c r="S96" s="49">
        <v>2037067</v>
      </c>
      <c r="T96" s="85">
        <f t="shared" ref="T96:T100" si="36">S96/N96*1-1</f>
        <v>0.4860955782633023</v>
      </c>
      <c r="U96" s="86">
        <f t="shared" ref="U96:U100" si="37">S96-N96</f>
        <v>666316</v>
      </c>
      <c r="V96" s="49">
        <v>1370751</v>
      </c>
      <c r="W96" s="49">
        <v>1370751</v>
      </c>
      <c r="Y96" s="49" t="e">
        <f>SUM(R106,S115,#REF!)</f>
        <v>#REF!</v>
      </c>
      <c r="Z96" s="49">
        <f>SUM(S120)</f>
        <v>0</v>
      </c>
      <c r="AA96" s="49">
        <f>SUM(S123)</f>
        <v>0</v>
      </c>
      <c r="AB96" s="49"/>
      <c r="AC96" s="49">
        <f>SUM(S126)</f>
        <v>0</v>
      </c>
      <c r="AD96" s="49"/>
      <c r="AE96" s="49">
        <v>3704710</v>
      </c>
      <c r="AF96" s="49">
        <v>5881370</v>
      </c>
      <c r="AG96" s="49"/>
      <c r="AH96" s="49">
        <f>SUM(AK96,AL96,AM96,AN96,AO96,AP96,AQ96)</f>
        <v>0</v>
      </c>
      <c r="AI96" s="50">
        <f t="shared" si="34"/>
        <v>0.58753856577167984</v>
      </c>
      <c r="AJ96" s="49">
        <f>AH96-AF96</f>
        <v>-5881370</v>
      </c>
      <c r="AK96" s="49"/>
      <c r="AL96" s="49"/>
      <c r="AM96" s="49"/>
      <c r="AN96" s="49"/>
      <c r="AO96" s="49"/>
      <c r="AP96" s="49"/>
      <c r="AQ96" s="49"/>
    </row>
    <row r="97" spans="1:43" ht="24.75" hidden="1" customHeight="1" x14ac:dyDescent="0.35">
      <c r="A97" s="5"/>
      <c r="B97" s="5"/>
      <c r="C97" s="5"/>
      <c r="D97" s="5"/>
      <c r="E97" s="5"/>
      <c r="F97" s="5"/>
      <c r="G97" s="6" t="s">
        <v>46</v>
      </c>
      <c r="H97" s="47" t="e">
        <f>SUM(H95:H96)</f>
        <v>#REF!</v>
      </c>
      <c r="I97" s="47"/>
      <c r="J97" s="47">
        <f>SUM(J95:J96)</f>
        <v>17144895</v>
      </c>
      <c r="K97" s="47"/>
      <c r="L97" s="47">
        <f>SUM(L95:L96)</f>
        <v>18543741</v>
      </c>
      <c r="M97" s="47"/>
      <c r="N97" s="47">
        <f>SUM(N95:N96)</f>
        <v>18805427</v>
      </c>
      <c r="O97" s="48">
        <f>N97/L97*1-1</f>
        <v>1.4111823498829112E-2</v>
      </c>
      <c r="P97" s="47">
        <f>N97-L97</f>
        <v>261686</v>
      </c>
      <c r="Q97" s="47"/>
      <c r="R97" s="47">
        <f>SUM(R95:R96)</f>
        <v>14857201</v>
      </c>
      <c r="S97" s="47">
        <f>SUM(S95:S96)</f>
        <v>24545608</v>
      </c>
      <c r="T97" s="48">
        <f t="shared" si="36"/>
        <v>0.30524066270869565</v>
      </c>
      <c r="U97" s="47">
        <f t="shared" si="37"/>
        <v>5740181</v>
      </c>
      <c r="V97" s="47">
        <f>SUM(V95:V96)</f>
        <v>6210219</v>
      </c>
      <c r="W97" s="47">
        <f>SUM(W95:W96)</f>
        <v>6206779</v>
      </c>
      <c r="Y97" s="47" t="e">
        <f t="shared" ref="Y97:AF97" si="38">SUM(Y95:Y96)</f>
        <v>#REF!</v>
      </c>
      <c r="Z97" s="47">
        <f t="shared" si="38"/>
        <v>1043500</v>
      </c>
      <c r="AA97" s="47">
        <f t="shared" si="38"/>
        <v>40000</v>
      </c>
      <c r="AB97" s="47">
        <f t="shared" si="38"/>
        <v>5514915</v>
      </c>
      <c r="AC97" s="47">
        <f t="shared" si="38"/>
        <v>195626</v>
      </c>
      <c r="AD97" s="47">
        <f t="shared" si="38"/>
        <v>22440086</v>
      </c>
      <c r="AE97" s="47">
        <f t="shared" si="38"/>
        <v>27850237</v>
      </c>
      <c r="AF97" s="47">
        <f t="shared" si="38"/>
        <v>33770407</v>
      </c>
      <c r="AG97" s="47"/>
      <c r="AH97" s="47"/>
      <c r="AI97" s="48">
        <f t="shared" si="34"/>
        <v>0.21257162012660791</v>
      </c>
      <c r="AJ97" s="47">
        <f>SUM(AJ52,AJ53,AJ56,AJ66,AJ70)</f>
        <v>2076147</v>
      </c>
      <c r="AK97" s="47">
        <f>SUM(AK95:AK96)</f>
        <v>14191070</v>
      </c>
      <c r="AL97" s="47">
        <f t="shared" ref="AL97:AM97" si="39">SUM(AL95:AL96)</f>
        <v>2176930</v>
      </c>
      <c r="AM97" s="47">
        <f t="shared" si="39"/>
        <v>60000</v>
      </c>
      <c r="AN97" s="47">
        <f>SUM(AN95:AN96)</f>
        <v>1012000</v>
      </c>
      <c r="AO97" s="47">
        <f>SUM(AO95:AO96)</f>
        <v>37000</v>
      </c>
      <c r="AP97" s="47">
        <f>SUM(AP95:AP96)</f>
        <v>8622671</v>
      </c>
      <c r="AQ97" s="47">
        <f>SUM(AQ95:AQ96)</f>
        <v>1226066</v>
      </c>
    </row>
    <row r="98" spans="1:43" ht="26.25" hidden="1" customHeight="1" x14ac:dyDescent="0.35">
      <c r="A98" s="25"/>
      <c r="B98" s="25"/>
      <c r="C98" s="25"/>
      <c r="D98" s="25"/>
      <c r="E98" s="25"/>
      <c r="F98" s="25"/>
      <c r="G98" s="26" t="s">
        <v>33</v>
      </c>
      <c r="H98" s="51">
        <v>1407727</v>
      </c>
      <c r="I98" s="51"/>
      <c r="J98" s="51">
        <v>1119202</v>
      </c>
      <c r="K98" s="51"/>
      <c r="L98" s="51">
        <v>358980</v>
      </c>
      <c r="M98" s="51"/>
      <c r="N98" s="52">
        <v>374173</v>
      </c>
      <c r="O98" s="53">
        <f>N98/L98*1-1</f>
        <v>4.2322692071981693E-2</v>
      </c>
      <c r="P98" s="51">
        <f>N98-L98</f>
        <v>15193</v>
      </c>
      <c r="Q98" s="51"/>
      <c r="R98" s="52">
        <v>374173</v>
      </c>
      <c r="S98" s="52">
        <v>333995</v>
      </c>
      <c r="T98" s="53">
        <f t="shared" si="36"/>
        <v>-0.10737813792015993</v>
      </c>
      <c r="U98" s="52">
        <f t="shared" si="37"/>
        <v>-40178</v>
      </c>
      <c r="V98" s="52">
        <v>374173</v>
      </c>
      <c r="W98" s="52">
        <v>374173</v>
      </c>
      <c r="Y98" s="52">
        <v>333995</v>
      </c>
      <c r="Z98" s="52"/>
      <c r="AA98" s="52"/>
      <c r="AB98" s="52"/>
      <c r="AC98" s="52"/>
      <c r="AD98" s="52"/>
      <c r="AE98" s="52">
        <v>166138</v>
      </c>
      <c r="AF98" s="52">
        <v>316527</v>
      </c>
      <c r="AG98" s="52"/>
      <c r="AH98" s="52"/>
      <c r="AI98" s="53">
        <f t="shared" si="34"/>
        <v>0.90520531124727643</v>
      </c>
      <c r="AJ98" s="52">
        <f>AF98-AE98</f>
        <v>150389</v>
      </c>
      <c r="AK98" s="52">
        <f>SUM(AF98)</f>
        <v>316527</v>
      </c>
      <c r="AL98" s="52"/>
      <c r="AM98" s="52"/>
      <c r="AN98" s="52"/>
      <c r="AO98" s="52"/>
      <c r="AP98" s="52"/>
      <c r="AQ98" s="52"/>
    </row>
    <row r="99" spans="1:43" ht="26.25" hidden="1" customHeight="1" x14ac:dyDescent="0.35">
      <c r="A99" s="25"/>
      <c r="B99" s="25"/>
      <c r="C99" s="25"/>
      <c r="D99" s="25"/>
      <c r="E99" s="25"/>
      <c r="F99" s="25"/>
      <c r="G99" s="26" t="s">
        <v>47</v>
      </c>
      <c r="H99" s="51">
        <v>58271</v>
      </c>
      <c r="I99" s="51"/>
      <c r="J99" s="51">
        <v>178172</v>
      </c>
      <c r="K99" s="51"/>
      <c r="L99" s="51">
        <v>708350</v>
      </c>
      <c r="M99" s="51"/>
      <c r="N99" s="52">
        <v>394800</v>
      </c>
      <c r="O99" s="53">
        <f>N99/L99*1-1</f>
        <v>-0.44264840827274654</v>
      </c>
      <c r="P99" s="51">
        <f>N99-L99</f>
        <v>-313550</v>
      </c>
      <c r="Q99" s="51"/>
      <c r="R99" s="52">
        <v>394800</v>
      </c>
      <c r="S99" s="52">
        <v>543850</v>
      </c>
      <c r="T99" s="53">
        <f t="shared" si="36"/>
        <v>0.37753292806484295</v>
      </c>
      <c r="U99" s="52">
        <f t="shared" si="37"/>
        <v>149050</v>
      </c>
      <c r="V99" s="52">
        <v>394800</v>
      </c>
      <c r="W99" s="52">
        <v>394800</v>
      </c>
      <c r="Y99" s="52">
        <v>543850</v>
      </c>
      <c r="Z99" s="52"/>
      <c r="AA99" s="52"/>
      <c r="AB99" s="52"/>
      <c r="AC99" s="52"/>
      <c r="AD99" s="52"/>
      <c r="AE99" s="52">
        <v>201500</v>
      </c>
      <c r="AF99" s="146">
        <v>316527</v>
      </c>
      <c r="AG99" s="146"/>
      <c r="AH99" s="146"/>
      <c r="AI99" s="53">
        <f t="shared" si="34"/>
        <v>0.57085359801488833</v>
      </c>
      <c r="AJ99" s="52">
        <f>AF99-AE99</f>
        <v>115027</v>
      </c>
      <c r="AK99" s="52">
        <f>SUM(AF99)</f>
        <v>316527</v>
      </c>
      <c r="AL99" s="52"/>
      <c r="AM99" s="52"/>
      <c r="AN99" s="52"/>
      <c r="AO99" s="52"/>
      <c r="AP99" s="52"/>
      <c r="AQ99" s="52"/>
    </row>
    <row r="100" spans="1:43" ht="24" hidden="1" customHeight="1" x14ac:dyDescent="0.35">
      <c r="A100" s="14"/>
      <c r="B100" s="14"/>
      <c r="C100" s="14"/>
      <c r="D100" s="14"/>
      <c r="E100" s="14"/>
      <c r="F100" s="14"/>
      <c r="G100" s="54" t="s">
        <v>48</v>
      </c>
      <c r="H100" s="55" t="e">
        <f>H97+H98-H99</f>
        <v>#REF!</v>
      </c>
      <c r="I100" s="55"/>
      <c r="J100" s="55">
        <f>J97+J98-J99</f>
        <v>18085925</v>
      </c>
      <c r="K100" s="55"/>
      <c r="L100" s="55">
        <f>L97+L98-L99</f>
        <v>18194371</v>
      </c>
      <c r="M100" s="55"/>
      <c r="N100" s="55">
        <f>N97+N98-N99</f>
        <v>18784800</v>
      </c>
      <c r="O100" s="56">
        <f>N100/L100*1-1</f>
        <v>3.2451190535798036E-2</v>
      </c>
      <c r="P100" s="55">
        <f>N100-L100</f>
        <v>590429</v>
      </c>
      <c r="Q100" s="55"/>
      <c r="R100" s="55">
        <f>R97+R98-R99</f>
        <v>14836574</v>
      </c>
      <c r="S100" s="55">
        <f>S97+S98-S99</f>
        <v>24335753</v>
      </c>
      <c r="T100" s="56">
        <f t="shared" si="36"/>
        <v>0.29550237426004</v>
      </c>
      <c r="U100" s="55">
        <f t="shared" si="37"/>
        <v>5550953</v>
      </c>
      <c r="V100" s="55">
        <f>V97+V98-V99</f>
        <v>6189592</v>
      </c>
      <c r="W100" s="55">
        <f>W97+W98-W99</f>
        <v>6186152</v>
      </c>
      <c r="Y100" s="55" t="e">
        <f t="shared" ref="Y100:AF100" si="40">Y97+Y98-Y99</f>
        <v>#REF!</v>
      </c>
      <c r="Z100" s="55">
        <f t="shared" si="40"/>
        <v>1043500</v>
      </c>
      <c r="AA100" s="55">
        <f t="shared" si="40"/>
        <v>40000</v>
      </c>
      <c r="AB100" s="55">
        <f t="shared" si="40"/>
        <v>5514915</v>
      </c>
      <c r="AC100" s="55">
        <f t="shared" si="40"/>
        <v>195626</v>
      </c>
      <c r="AD100" s="55">
        <f t="shared" si="40"/>
        <v>22440086</v>
      </c>
      <c r="AE100" s="55">
        <f t="shared" si="40"/>
        <v>27814875</v>
      </c>
      <c r="AF100" s="55">
        <f t="shared" si="40"/>
        <v>33770407</v>
      </c>
      <c r="AG100" s="55"/>
      <c r="AH100" s="55"/>
      <c r="AI100" s="56">
        <f t="shared" si="34"/>
        <v>0.21411320381630339</v>
      </c>
      <c r="AJ100" s="55">
        <f>AF100-AE100</f>
        <v>5955532</v>
      </c>
      <c r="AK100" s="55">
        <f>AK97+AK98-AK99</f>
        <v>14191070</v>
      </c>
      <c r="AL100" s="55">
        <f t="shared" ref="AL100:AM100" si="41">AL97+AL98-AL99</f>
        <v>2176930</v>
      </c>
      <c r="AM100" s="55">
        <f t="shared" si="41"/>
        <v>60000</v>
      </c>
      <c r="AN100" s="55">
        <f>AN97+AN98-AN99</f>
        <v>1012000</v>
      </c>
      <c r="AO100" s="55">
        <f>AO97+AO98-AO99</f>
        <v>37000</v>
      </c>
      <c r="AP100" s="55">
        <f>AP97+AP98-AP99</f>
        <v>8622671</v>
      </c>
      <c r="AQ100" s="55">
        <f>AQ97+AQ98-AQ99</f>
        <v>1226066</v>
      </c>
    </row>
    <row r="101" spans="1:43" ht="15" hidden="1" customHeight="1" x14ac:dyDescent="0.35">
      <c r="Z101" s="98"/>
      <c r="AL101" s="98">
        <f>SUM(AK100:AM100)</f>
        <v>16428000</v>
      </c>
      <c r="AN101" s="98"/>
    </row>
    <row r="102" spans="1:43" hidden="1" x14ac:dyDescent="0.35">
      <c r="N102" s="34" t="s">
        <v>98</v>
      </c>
      <c r="R102" s="34">
        <f>SUM(R103:R109)</f>
        <v>2085460</v>
      </c>
      <c r="AD102" s="34">
        <f>SUM(AD103:AD109)</f>
        <v>3455326</v>
      </c>
      <c r="AO102" t="s">
        <v>168</v>
      </c>
      <c r="AP102" t="s">
        <v>169</v>
      </c>
    </row>
    <row r="103" spans="1:43" hidden="1" x14ac:dyDescent="0.35">
      <c r="N103" t="s">
        <v>87</v>
      </c>
      <c r="R103">
        <v>1213930</v>
      </c>
      <c r="AD103" s="118">
        <v>600</v>
      </c>
      <c r="AE103" s="118"/>
      <c r="AF103" s="118"/>
      <c r="AG103" s="118"/>
      <c r="AH103" s="118"/>
      <c r="AO103">
        <f>SUM(AD103:AD104)</f>
        <v>297025</v>
      </c>
      <c r="AP103">
        <f>SUM(AD106,AD105)</f>
        <v>2328374.9</v>
      </c>
    </row>
    <row r="104" spans="1:43" hidden="1" x14ac:dyDescent="0.35">
      <c r="AD104" s="118">
        <v>296425</v>
      </c>
      <c r="AE104" s="118" t="s">
        <v>167</v>
      </c>
      <c r="AF104" s="118" t="s">
        <v>167</v>
      </c>
      <c r="AG104" s="118"/>
      <c r="AH104" s="118"/>
      <c r="AI104" s="34">
        <f>SUM(AD103:AD104)</f>
        <v>297025</v>
      </c>
      <c r="AJ104" t="s">
        <v>168</v>
      </c>
      <c r="AP104" t="e">
        <f>SUM(#REF!)</f>
        <v>#REF!</v>
      </c>
    </row>
    <row r="105" spans="1:43" hidden="1" x14ac:dyDescent="0.35">
      <c r="N105" t="s">
        <v>214</v>
      </c>
      <c r="AD105" s="110">
        <v>4732</v>
      </c>
      <c r="AE105" s="110" t="s">
        <v>164</v>
      </c>
      <c r="AF105" s="110" t="s">
        <v>164</v>
      </c>
      <c r="AG105" s="110"/>
      <c r="AH105" s="110"/>
      <c r="AI105">
        <f>SUM(AD103:AD106)</f>
        <v>2625399.9</v>
      </c>
      <c r="AO105">
        <f>SUM(AE111)</f>
        <v>13958440</v>
      </c>
    </row>
    <row r="106" spans="1:43" hidden="1" x14ac:dyDescent="0.35">
      <c r="N106" t="s">
        <v>213</v>
      </c>
      <c r="R106" s="22">
        <v>106335</v>
      </c>
      <c r="AD106" s="22">
        <v>2323642.9</v>
      </c>
      <c r="AO106">
        <f>SUM(AE112)</f>
        <v>3845500</v>
      </c>
      <c r="AP106">
        <f>SUM(AE115:AE117)</f>
        <v>5210300</v>
      </c>
      <c r="AQ106">
        <f>SUM(AO106:AP106)</f>
        <v>9055800</v>
      </c>
    </row>
    <row r="107" spans="1:43" hidden="1" x14ac:dyDescent="0.35">
      <c r="N107" t="s">
        <v>99</v>
      </c>
      <c r="R107">
        <v>431200</v>
      </c>
      <c r="AD107">
        <v>663856.31000000006</v>
      </c>
      <c r="AO107" s="118" t="e">
        <f>SUM(AO103:AO106,AP103:AP106)</f>
        <v>#REF!</v>
      </c>
      <c r="AP107" t="e">
        <f>SUM(AP103:AP106)</f>
        <v>#REF!</v>
      </c>
    </row>
    <row r="108" spans="1:43" hidden="1" x14ac:dyDescent="0.35">
      <c r="N108" t="s">
        <v>166</v>
      </c>
      <c r="AD108">
        <v>148841</v>
      </c>
      <c r="AE108">
        <v>333760</v>
      </c>
      <c r="AK108" s="118">
        <f>SUM(AI105,AE110)</f>
        <v>24598399.899999999</v>
      </c>
      <c r="AL108" s="118"/>
      <c r="AM108" s="118"/>
      <c r="AO108" t="e">
        <f>AK97-AO107</f>
        <v>#REF!</v>
      </c>
    </row>
    <row r="109" spans="1:43" hidden="1" x14ac:dyDescent="0.35">
      <c r="N109" t="s">
        <v>165</v>
      </c>
      <c r="R109">
        <v>333995</v>
      </c>
      <c r="AD109">
        <v>17228.79</v>
      </c>
      <c r="AE109">
        <v>605</v>
      </c>
    </row>
    <row r="110" spans="1:43" hidden="1" x14ac:dyDescent="0.35">
      <c r="N110" s="34" t="s">
        <v>101</v>
      </c>
      <c r="S110" s="34">
        <f>SUM(S114,S111,S112,S115:S117)</f>
        <v>0</v>
      </c>
      <c r="AE110" s="34">
        <f>SUM(AE111:AE114)</f>
        <v>21973000</v>
      </c>
      <c r="AF110" s="34">
        <f>SUM(AF111,AF112,AF115:AF117)</f>
        <v>0</v>
      </c>
      <c r="AG110" s="34"/>
      <c r="AH110" s="34"/>
    </row>
    <row r="111" spans="1:43" hidden="1" x14ac:dyDescent="0.35">
      <c r="N111" t="s">
        <v>100</v>
      </c>
      <c r="AE111">
        <v>13958440</v>
      </c>
    </row>
    <row r="112" spans="1:43" hidden="1" x14ac:dyDescent="0.35">
      <c r="N112" t="s">
        <v>102</v>
      </c>
      <c r="AE112">
        <v>3845500</v>
      </c>
    </row>
    <row r="113" spans="14:42" hidden="1" x14ac:dyDescent="0.35">
      <c r="N113" t="s">
        <v>104</v>
      </c>
      <c r="AE113">
        <v>124740</v>
      </c>
    </row>
    <row r="114" spans="14:42" hidden="1" x14ac:dyDescent="0.35">
      <c r="N114" t="s">
        <v>189</v>
      </c>
      <c r="T114" s="87">
        <f>SUM(S86,S74,S50)</f>
        <v>15714500</v>
      </c>
      <c r="Z114" t="s">
        <v>149</v>
      </c>
      <c r="AB114" t="s">
        <v>152</v>
      </c>
      <c r="AE114">
        <v>4044320</v>
      </c>
      <c r="AF114">
        <f>SUM(AE104,AE103,AF111,AF112)</f>
        <v>0</v>
      </c>
      <c r="AI114" s="87"/>
      <c r="AN114" t="s">
        <v>216</v>
      </c>
      <c r="AP114" t="s">
        <v>152</v>
      </c>
    </row>
    <row r="115" spans="14:42" hidden="1" x14ac:dyDescent="0.35">
      <c r="N115" t="s">
        <v>213</v>
      </c>
      <c r="S115" s="22"/>
      <c r="T115" s="116" t="s">
        <v>153</v>
      </c>
      <c r="U115" t="s">
        <v>106</v>
      </c>
      <c r="AD115" s="116" t="s">
        <v>161</v>
      </c>
      <c r="AE115" s="143">
        <v>4857261</v>
      </c>
      <c r="AF115" s="119"/>
      <c r="AG115" s="147"/>
      <c r="AH115" s="147"/>
      <c r="AI115" s="116" t="s">
        <v>172</v>
      </c>
      <c r="AJ115" t="s">
        <v>160</v>
      </c>
      <c r="AK115" s="34" t="s">
        <v>87</v>
      </c>
      <c r="AN115" s="142">
        <v>5092175.78</v>
      </c>
      <c r="AP115" s="113">
        <f>AN115-AE115</f>
        <v>234914.78000000026</v>
      </c>
    </row>
    <row r="116" spans="14:42" hidden="1" x14ac:dyDescent="0.35">
      <c r="S116" s="22"/>
      <c r="T116" s="116"/>
      <c r="AD116" s="116"/>
      <c r="AE116" s="143">
        <v>6105</v>
      </c>
      <c r="AF116" s="119"/>
      <c r="AG116" s="147"/>
      <c r="AH116" s="147"/>
      <c r="AI116" s="116" t="s">
        <v>171</v>
      </c>
      <c r="AK116" s="114" t="s">
        <v>219</v>
      </c>
      <c r="AN116" s="142">
        <v>6105.46</v>
      </c>
      <c r="AP116" s="113">
        <f>AN116-AE116</f>
        <v>0.46000000000003638</v>
      </c>
    </row>
    <row r="117" spans="14:42" hidden="1" x14ac:dyDescent="0.35">
      <c r="S117" s="22"/>
      <c r="T117" s="116"/>
      <c r="AD117" s="116"/>
      <c r="AE117" s="143">
        <v>346934</v>
      </c>
      <c r="AF117" s="119"/>
      <c r="AG117" s="147"/>
      <c r="AH117" s="147"/>
      <c r="AI117" s="116" t="s">
        <v>170</v>
      </c>
      <c r="AK117" s="114" t="s">
        <v>164</v>
      </c>
      <c r="AN117" s="142">
        <v>346933.88</v>
      </c>
      <c r="AP117" s="113">
        <f>AN117-AE117</f>
        <v>-0.11999999999534339</v>
      </c>
    </row>
    <row r="118" spans="14:42" hidden="1" x14ac:dyDescent="0.35">
      <c r="N118" s="34" t="s">
        <v>103</v>
      </c>
      <c r="S118" s="34">
        <f>SUM(S119:S120)</f>
        <v>0</v>
      </c>
      <c r="Y118" s="114"/>
      <c r="Z118" s="115"/>
      <c r="AB118" s="113"/>
      <c r="AD118" s="116"/>
      <c r="AE118" s="144">
        <f>SUM(AE119:AE120)</f>
        <v>1380787</v>
      </c>
      <c r="AF118" s="34">
        <f>SUM(AF119:AF120)</f>
        <v>0</v>
      </c>
      <c r="AG118" s="34"/>
      <c r="AH118" s="34"/>
      <c r="AK118" s="114"/>
      <c r="AL118" s="114"/>
      <c r="AM118" s="114"/>
      <c r="AN118" s="142"/>
      <c r="AP118" s="113"/>
    </row>
    <row r="119" spans="14:42" hidden="1" x14ac:dyDescent="0.35">
      <c r="N119" t="s">
        <v>215</v>
      </c>
      <c r="Y119" s="114"/>
      <c r="Z119" s="115"/>
      <c r="AB119" s="113"/>
      <c r="AD119" s="116" t="s">
        <v>162</v>
      </c>
      <c r="AE119" s="145">
        <v>1252000</v>
      </c>
      <c r="AK119" s="114"/>
      <c r="AL119" s="114"/>
      <c r="AM119" s="114"/>
      <c r="AN119" s="142"/>
      <c r="AP119" s="113"/>
    </row>
    <row r="120" spans="14:42" hidden="1" x14ac:dyDescent="0.35">
      <c r="N120" t="s">
        <v>213</v>
      </c>
      <c r="S120" s="22"/>
      <c r="U120">
        <f>SUM(R106,S115:S117,S120)</f>
        <v>106335</v>
      </c>
      <c r="Y120" s="114" t="s">
        <v>150</v>
      </c>
      <c r="Z120" s="115">
        <v>64389.24</v>
      </c>
      <c r="AB120" s="113">
        <f>Z120-S120</f>
        <v>64389.24</v>
      </c>
      <c r="AD120" s="116" t="s">
        <v>161</v>
      </c>
      <c r="AE120" s="22">
        <v>128787</v>
      </c>
      <c r="AF120" s="22"/>
      <c r="AG120" s="148"/>
      <c r="AH120" s="148"/>
      <c r="AJ120">
        <f>SUM(AD106,AE115:AE117,AE120)</f>
        <v>7662729.9000000004</v>
      </c>
      <c r="AK120" s="114" t="s">
        <v>150</v>
      </c>
      <c r="AL120" s="114"/>
      <c r="AM120" s="114"/>
      <c r="AN120" s="142">
        <v>128787.16</v>
      </c>
      <c r="AP120" s="113">
        <f>AN120-AE120</f>
        <v>0.16000000000349246</v>
      </c>
    </row>
    <row r="121" spans="14:42" hidden="1" x14ac:dyDescent="0.35">
      <c r="N121" s="34" t="s">
        <v>105</v>
      </c>
      <c r="S121" s="34">
        <f>SUM(S122:S123)</f>
        <v>0</v>
      </c>
      <c r="Y121" s="114"/>
      <c r="Z121" s="115"/>
      <c r="AB121" s="113"/>
      <c r="AD121" s="116"/>
      <c r="AE121" s="34">
        <f>SUM(AE122:AE123)</f>
        <v>94305</v>
      </c>
      <c r="AF121" s="34">
        <f>SUM(AF122:AF123)</f>
        <v>0</v>
      </c>
      <c r="AG121" s="34"/>
      <c r="AH121" s="34"/>
      <c r="AK121" s="114"/>
      <c r="AL121" s="114"/>
      <c r="AM121" s="114"/>
      <c r="AN121" s="142"/>
      <c r="AP121" s="113"/>
    </row>
    <row r="122" spans="14:42" hidden="1" x14ac:dyDescent="0.35">
      <c r="N122">
        <v>2020</v>
      </c>
      <c r="Y122" s="114"/>
      <c r="Z122" s="115"/>
      <c r="AB122" s="113"/>
      <c r="AD122" s="116"/>
      <c r="AE122">
        <v>37000</v>
      </c>
      <c r="AK122" s="114"/>
      <c r="AL122" s="114"/>
      <c r="AM122" s="114"/>
      <c r="AN122" s="142"/>
      <c r="AP122" s="113"/>
    </row>
    <row r="123" spans="14:42" hidden="1" x14ac:dyDescent="0.35">
      <c r="N123" t="s">
        <v>213</v>
      </c>
      <c r="S123" s="22"/>
      <c r="Y123" s="114" t="s">
        <v>105</v>
      </c>
      <c r="Z123" s="115">
        <v>50471.91</v>
      </c>
      <c r="AB123" s="113">
        <f>Z123-S123</f>
        <v>50471.91</v>
      </c>
      <c r="AD123" s="116" t="s">
        <v>161</v>
      </c>
      <c r="AE123" s="22">
        <v>57305</v>
      </c>
      <c r="AF123" s="22"/>
      <c r="AG123" s="148"/>
      <c r="AH123" s="148"/>
      <c r="AK123" s="114" t="s">
        <v>105</v>
      </c>
      <c r="AL123" s="114"/>
      <c r="AM123" s="114"/>
      <c r="AN123" s="142">
        <v>57305.1</v>
      </c>
      <c r="AP123" s="113">
        <f>AN123-AE123</f>
        <v>9.9999999998544808E-2</v>
      </c>
    </row>
    <row r="124" spans="14:42" hidden="1" x14ac:dyDescent="0.35">
      <c r="N124" s="34" t="s">
        <v>108</v>
      </c>
      <c r="S124" s="34">
        <f>SUM(S125:S126)</f>
        <v>0</v>
      </c>
      <c r="Y124" s="114"/>
      <c r="Z124" s="115"/>
      <c r="AB124" s="113"/>
      <c r="AD124" s="116"/>
      <c r="AE124" s="34">
        <f>SUM(AE125:AE126)</f>
        <v>525118</v>
      </c>
      <c r="AF124" s="34">
        <f>SUM(AF125:AF126)</f>
        <v>0</v>
      </c>
      <c r="AG124" s="34"/>
      <c r="AH124" s="34"/>
      <c r="AK124" s="114"/>
      <c r="AL124" s="114"/>
      <c r="AM124" s="114"/>
      <c r="AN124" s="142"/>
      <c r="AP124" s="113"/>
    </row>
    <row r="125" spans="14:42" hidden="1" x14ac:dyDescent="0.35">
      <c r="N125">
        <v>2020</v>
      </c>
      <c r="Y125" s="114"/>
      <c r="Z125" s="115"/>
      <c r="AB125" s="113"/>
      <c r="AD125" s="116"/>
      <c r="AE125" s="120">
        <v>40140</v>
      </c>
      <c r="AF125" s="120"/>
      <c r="AG125" s="120"/>
      <c r="AH125" s="120"/>
      <c r="AK125" s="114"/>
      <c r="AL125" s="114"/>
      <c r="AM125" s="114"/>
      <c r="AN125" s="142"/>
      <c r="AP125" s="113"/>
    </row>
    <row r="126" spans="14:42" hidden="1" x14ac:dyDescent="0.35">
      <c r="N126" t="s">
        <v>213</v>
      </c>
      <c r="S126" s="22"/>
      <c r="Y126" s="114" t="s">
        <v>108</v>
      </c>
      <c r="Z126" s="115">
        <v>694147.48</v>
      </c>
      <c r="AB126" s="113">
        <f>Z126-S126</f>
        <v>694147.48</v>
      </c>
      <c r="AD126" s="116" t="s">
        <v>161</v>
      </c>
      <c r="AE126" s="22">
        <v>484978</v>
      </c>
      <c r="AF126" s="22"/>
      <c r="AG126" s="148"/>
      <c r="AH126" s="148"/>
      <c r="AK126" s="114" t="s">
        <v>108</v>
      </c>
      <c r="AL126" s="114"/>
      <c r="AM126" s="114"/>
      <c r="AN126" s="142">
        <v>484978</v>
      </c>
      <c r="AP126" s="113">
        <f>AN126-AE126</f>
        <v>0</v>
      </c>
    </row>
    <row r="127" spans="14:42" ht="15" hidden="1" thickBot="1" x14ac:dyDescent="0.4">
      <c r="S127" s="89"/>
      <c r="Y127" s="114"/>
      <c r="Z127" s="115"/>
      <c r="AB127" s="113"/>
      <c r="AD127" s="116"/>
      <c r="AE127" s="89"/>
      <c r="AF127" s="89"/>
      <c r="AG127" s="149"/>
      <c r="AH127" s="149"/>
      <c r="AK127" s="114"/>
      <c r="AL127" s="114"/>
      <c r="AM127" s="114"/>
      <c r="AN127" s="115"/>
      <c r="AP127" s="113"/>
    </row>
    <row r="128" spans="14:42" ht="15" hidden="1" thickBot="1" x14ac:dyDescent="0.4">
      <c r="N128" t="s">
        <v>107</v>
      </c>
      <c r="S128" s="88">
        <f>SUM(S115:S117,S120,S123,S126)</f>
        <v>0</v>
      </c>
      <c r="Y128" s="114" t="s">
        <v>151</v>
      </c>
      <c r="Z128" s="115">
        <f>SUM(Z118:Z127)</f>
        <v>809008.63</v>
      </c>
      <c r="AB128" s="113"/>
      <c r="AD128" s="116"/>
      <c r="AE128" s="88">
        <f>SUM(AE115:AE117,AE120,AE123,AE126)</f>
        <v>5881370</v>
      </c>
      <c r="AF128" s="88">
        <f>SUM(AE106,AF115,AF120,AF123,AF126)</f>
        <v>0</v>
      </c>
      <c r="AG128" s="150"/>
      <c r="AH128" s="150"/>
      <c r="AK128" s="114" t="s">
        <v>151</v>
      </c>
      <c r="AL128" s="114"/>
      <c r="AM128" s="114"/>
      <c r="AN128" s="142">
        <f>SUM(AN115:AN127)</f>
        <v>6116285.3799999999</v>
      </c>
      <c r="AP128" s="113">
        <f>SUM(AP115:AP127)</f>
        <v>234915.38000000027</v>
      </c>
    </row>
    <row r="129" spans="1:36" ht="26.15" customHeight="1" x14ac:dyDescent="0.35">
      <c r="G129" s="363" t="s">
        <v>240</v>
      </c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/>
      <c r="Z129" s="363"/>
      <c r="AA129" s="363"/>
      <c r="AB129" s="363"/>
      <c r="AC129" s="363"/>
      <c r="AD129" s="363"/>
      <c r="AE129" s="363"/>
      <c r="AF129" s="363"/>
      <c r="AH129" s="166">
        <f>SUM(AH18,AH19,AH20,AH23,AH24)*(-1)</f>
        <v>-360000</v>
      </c>
    </row>
    <row r="130" spans="1:36" ht="38.5" customHeight="1" x14ac:dyDescent="0.35">
      <c r="G130" s="171" t="s">
        <v>248</v>
      </c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1"/>
      <c r="V130" s="171"/>
      <c r="W130" s="171"/>
      <c r="X130" s="171"/>
      <c r="Y130" s="171"/>
      <c r="Z130" s="171"/>
      <c r="AA130" s="171"/>
      <c r="AB130" s="171"/>
      <c r="AC130" s="171"/>
      <c r="AD130" s="171"/>
      <c r="AE130" s="171"/>
      <c r="AF130" s="184">
        <v>-29000</v>
      </c>
      <c r="AH130" s="182"/>
    </row>
    <row r="131" spans="1:36" ht="27" customHeight="1" x14ac:dyDescent="0.35">
      <c r="A131" s="364" t="s">
        <v>239</v>
      </c>
      <c r="B131" s="364"/>
      <c r="C131" s="364"/>
      <c r="D131" s="364"/>
      <c r="E131" s="364"/>
      <c r="F131" s="364"/>
      <c r="G131" s="364"/>
      <c r="N131" s="173">
        <v>11462000</v>
      </c>
      <c r="O131" s="173"/>
      <c r="P131" s="173"/>
      <c r="Q131" s="173"/>
      <c r="R131" s="173"/>
      <c r="S131" s="173">
        <v>15087000</v>
      </c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>
        <v>15438000</v>
      </c>
      <c r="AF131" s="173">
        <f>SUM(AF50,AF130)</f>
        <v>16041000</v>
      </c>
      <c r="AG131" s="174"/>
      <c r="AH131" s="183">
        <f>SUM(AH50,AH129)</f>
        <v>14815000</v>
      </c>
      <c r="AI131" s="175">
        <f>AH131/AF131*1-1</f>
        <v>-7.6429150302350202E-2</v>
      </c>
      <c r="AJ131" s="176">
        <f>AH131-AF131</f>
        <v>-1226000</v>
      </c>
    </row>
    <row r="132" spans="1:36" ht="32.5" customHeight="1" x14ac:dyDescent="0.35">
      <c r="G132" s="177" t="s">
        <v>244</v>
      </c>
      <c r="H132" s="178"/>
      <c r="I132" s="178"/>
      <c r="J132" s="178"/>
      <c r="K132" s="178"/>
      <c r="L132" s="178"/>
      <c r="M132" s="178"/>
      <c r="N132" s="179">
        <v>1226987.6200000001</v>
      </c>
      <c r="O132" s="179"/>
      <c r="P132" s="179"/>
      <c r="Q132" s="179"/>
      <c r="R132" s="179"/>
      <c r="S132" s="179">
        <v>1810686.49</v>
      </c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>
        <v>3342492.57</v>
      </c>
      <c r="AF132" s="179">
        <v>5092175.78</v>
      </c>
      <c r="AG132" s="174"/>
      <c r="AH132" s="174">
        <v>2000000</v>
      </c>
      <c r="AI132" s="174"/>
      <c r="AJ132" s="174"/>
    </row>
    <row r="133" spans="1:36" ht="27" customHeight="1" x14ac:dyDescent="0.35">
      <c r="A133" s="365" t="s">
        <v>245</v>
      </c>
      <c r="B133" s="365"/>
      <c r="C133" s="365"/>
      <c r="D133" s="365"/>
      <c r="E133" s="365"/>
      <c r="F133" s="365"/>
      <c r="G133" s="365"/>
      <c r="H133" s="3"/>
      <c r="I133" s="3"/>
      <c r="J133" s="3"/>
      <c r="K133" s="3"/>
      <c r="L133" s="3"/>
      <c r="M133" s="3"/>
      <c r="N133" s="17">
        <f t="shared" ref="N133:AE133" si="42">SUM(N131:N132)</f>
        <v>12688987.620000001</v>
      </c>
      <c r="O133" s="17">
        <f t="shared" si="42"/>
        <v>0</v>
      </c>
      <c r="P133" s="17">
        <f t="shared" si="42"/>
        <v>0</v>
      </c>
      <c r="Q133" s="17">
        <f t="shared" si="42"/>
        <v>0</v>
      </c>
      <c r="R133" s="17">
        <f t="shared" si="42"/>
        <v>0</v>
      </c>
      <c r="S133" s="17">
        <f t="shared" si="42"/>
        <v>16897686.489999998</v>
      </c>
      <c r="T133" s="17">
        <f t="shared" si="42"/>
        <v>0</v>
      </c>
      <c r="U133" s="17">
        <f t="shared" si="42"/>
        <v>0</v>
      </c>
      <c r="V133" s="17">
        <f t="shared" si="42"/>
        <v>0</v>
      </c>
      <c r="W133" s="17">
        <f t="shared" si="42"/>
        <v>0</v>
      </c>
      <c r="X133" s="17">
        <f t="shared" si="42"/>
        <v>0</v>
      </c>
      <c r="Y133" s="17">
        <f t="shared" si="42"/>
        <v>0</v>
      </c>
      <c r="Z133" s="17">
        <f t="shared" si="42"/>
        <v>0</v>
      </c>
      <c r="AA133" s="17">
        <f t="shared" si="42"/>
        <v>0</v>
      </c>
      <c r="AB133" s="17">
        <f t="shared" si="42"/>
        <v>0</v>
      </c>
      <c r="AC133" s="17">
        <f t="shared" si="42"/>
        <v>0</v>
      </c>
      <c r="AD133" s="17">
        <f t="shared" si="42"/>
        <v>0</v>
      </c>
      <c r="AE133" s="17">
        <f t="shared" si="42"/>
        <v>18780492.57</v>
      </c>
      <c r="AF133" s="17">
        <f>SUM(AF131:AF132)</f>
        <v>21133175.780000001</v>
      </c>
      <c r="AG133" s="3"/>
      <c r="AH133" s="17">
        <f>SUM(AH131:AH132)</f>
        <v>16815000</v>
      </c>
      <c r="AI133" s="175">
        <f>AH133/AF133*1-1</f>
        <v>-0.20433160756116142</v>
      </c>
      <c r="AJ133" s="176">
        <f>AH133-AF133</f>
        <v>-4318175.7800000012</v>
      </c>
    </row>
    <row r="134" spans="1:36" hidden="1" x14ac:dyDescent="0.35">
      <c r="G134" s="2" t="s">
        <v>246</v>
      </c>
      <c r="N134" s="180">
        <v>1638000</v>
      </c>
      <c r="AF134">
        <v>21162176</v>
      </c>
      <c r="AH134">
        <f>SUM(AH133,N134)</f>
        <v>18453000</v>
      </c>
      <c r="AI134" s="175">
        <f>AH134/AF134*1-1</f>
        <v>-0.12801972727190247</v>
      </c>
      <c r="AJ134" s="176">
        <f>AH134-AF134</f>
        <v>-2709176</v>
      </c>
    </row>
    <row r="137" spans="1:36" x14ac:dyDescent="0.35">
      <c r="G137" s="4" t="s">
        <v>241</v>
      </c>
      <c r="H137" s="3"/>
      <c r="I137" s="3"/>
      <c r="J137" s="3"/>
      <c r="K137" s="3"/>
      <c r="L137" s="3"/>
      <c r="M137" s="3"/>
      <c r="N137" s="3">
        <v>19776</v>
      </c>
      <c r="O137" s="3"/>
      <c r="P137" s="3"/>
      <c r="Q137" s="3"/>
      <c r="R137" s="3"/>
      <c r="S137" s="3">
        <v>24278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23544</v>
      </c>
      <c r="AF137" s="3">
        <v>22722</v>
      </c>
      <c r="AG137" s="3"/>
      <c r="AH137" s="3">
        <v>22497</v>
      </c>
    </row>
    <row r="138" spans="1:36" ht="26.5" x14ac:dyDescent="0.35">
      <c r="G138" s="167" t="s">
        <v>243</v>
      </c>
      <c r="H138" s="3"/>
      <c r="I138" s="3"/>
      <c r="J138" s="3"/>
      <c r="K138" s="3"/>
      <c r="L138" s="3"/>
      <c r="M138" s="3"/>
      <c r="N138" s="3">
        <v>7684</v>
      </c>
      <c r="O138" s="3"/>
      <c r="P138" s="3"/>
      <c r="Q138" s="3"/>
      <c r="R138" s="3"/>
      <c r="S138" s="3">
        <v>11037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9833</v>
      </c>
      <c r="AF138" s="3">
        <v>10007</v>
      </c>
      <c r="AG138" s="3"/>
      <c r="AH138" s="3">
        <v>8890</v>
      </c>
    </row>
    <row r="139" spans="1:36" x14ac:dyDescent="0.35">
      <c r="G139" s="4" t="s">
        <v>242</v>
      </c>
      <c r="H139" s="3"/>
      <c r="I139" s="3"/>
      <c r="J139" s="3"/>
      <c r="K139" s="3"/>
      <c r="L139" s="3"/>
      <c r="M139" s="3"/>
      <c r="N139" s="3">
        <v>0.3886</v>
      </c>
      <c r="O139" s="3"/>
      <c r="P139" s="3"/>
      <c r="Q139" s="3"/>
      <c r="R139" s="3"/>
      <c r="S139" s="3">
        <v>0.4546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>
        <v>0.41760000000000003</v>
      </c>
      <c r="AF139" s="3">
        <v>0.44040000000000001</v>
      </c>
      <c r="AG139" s="3"/>
      <c r="AH139" s="3">
        <v>0.3952</v>
      </c>
    </row>
  </sheetData>
  <mergeCells count="32">
    <mergeCell ref="A54:G54"/>
    <mergeCell ref="G129:AF129"/>
    <mergeCell ref="A131:G131"/>
    <mergeCell ref="A133:G133"/>
    <mergeCell ref="AI4:AJ4"/>
    <mergeCell ref="W4:W5"/>
    <mergeCell ref="A6:G6"/>
    <mergeCell ref="A7:G7"/>
    <mergeCell ref="A48:G48"/>
    <mergeCell ref="A50:G50"/>
    <mergeCell ref="Y4:AC4"/>
    <mergeCell ref="Q4:Q5"/>
    <mergeCell ref="R4:R5"/>
    <mergeCell ref="S4:S5"/>
    <mergeCell ref="T4:U4"/>
    <mergeCell ref="V4:V5"/>
    <mergeCell ref="A2:AQ2"/>
    <mergeCell ref="A4:G5"/>
    <mergeCell ref="H4:H5"/>
    <mergeCell ref="I4:I5"/>
    <mergeCell ref="J4:J5"/>
    <mergeCell ref="K4:K5"/>
    <mergeCell ref="L4:L5"/>
    <mergeCell ref="M4:M5"/>
    <mergeCell ref="N4:N5"/>
    <mergeCell ref="O4:P4"/>
    <mergeCell ref="AK4:AQ4"/>
    <mergeCell ref="AD4:AD5"/>
    <mergeCell ref="AE4:AE5"/>
    <mergeCell ref="AF4:AF5"/>
    <mergeCell ref="AG4:AG5"/>
    <mergeCell ref="AH4:AH5"/>
  </mergeCells>
  <pageMargins left="0.70866141732283472" right="0" top="0.55118110236220474" bottom="0" header="0.31496062992125984" footer="0.31496062992125984"/>
  <pageSetup paperSize="9" scale="90" orientation="landscape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3"/>
  <sheetViews>
    <sheetView workbookViewId="0">
      <selection activeCell="G38" sqref="G38:M43"/>
    </sheetView>
  </sheetViews>
  <sheetFormatPr defaultRowHeight="14.5" x14ac:dyDescent="0.35"/>
  <cols>
    <col min="1" max="1" width="5.81640625" customWidth="1"/>
    <col min="2" max="6" width="9.1796875" hidden="1" customWidth="1"/>
    <col min="7" max="7" width="54.1796875" style="2" customWidth="1"/>
    <col min="10" max="10" width="10" customWidth="1"/>
    <col min="11" max="11" width="9.54296875" customWidth="1"/>
    <col min="12" max="12" width="10.54296875" customWidth="1"/>
    <col min="13" max="13" width="10.1796875" customWidth="1"/>
  </cols>
  <sheetData>
    <row r="2" spans="1:13" x14ac:dyDescent="0.35">
      <c r="A2" s="34" t="s">
        <v>49</v>
      </c>
      <c r="G2"/>
    </row>
    <row r="3" spans="1:13" x14ac:dyDescent="0.35">
      <c r="A3" s="1"/>
      <c r="B3" s="1"/>
      <c r="C3" s="1"/>
      <c r="D3" s="1"/>
      <c r="E3" s="1"/>
      <c r="F3" s="1"/>
      <c r="G3" s="1"/>
      <c r="H3" s="1"/>
    </row>
    <row r="4" spans="1:13" ht="24" customHeight="1" x14ac:dyDescent="0.35">
      <c r="A4" s="343" t="s">
        <v>18</v>
      </c>
      <c r="B4" s="343"/>
      <c r="C4" s="343"/>
      <c r="D4" s="343"/>
      <c r="E4" s="343"/>
      <c r="F4" s="343"/>
      <c r="G4" s="343"/>
      <c r="H4" s="356" t="s">
        <v>20</v>
      </c>
      <c r="I4" s="344" t="s">
        <v>19</v>
      </c>
      <c r="J4" s="344" t="s">
        <v>31</v>
      </c>
      <c r="K4" s="356" t="s">
        <v>30</v>
      </c>
      <c r="L4" s="343" t="s">
        <v>32</v>
      </c>
      <c r="M4" s="343"/>
    </row>
    <row r="5" spans="1:13" ht="24" customHeight="1" x14ac:dyDescent="0.35">
      <c r="A5" s="343"/>
      <c r="B5" s="343"/>
      <c r="C5" s="343"/>
      <c r="D5" s="343"/>
      <c r="E5" s="343"/>
      <c r="F5" s="343"/>
      <c r="G5" s="343"/>
      <c r="H5" s="356"/>
      <c r="I5" s="345"/>
      <c r="J5" s="345"/>
      <c r="K5" s="356"/>
      <c r="L5" s="7" t="s">
        <v>21</v>
      </c>
      <c r="M5" s="7" t="s">
        <v>22</v>
      </c>
    </row>
    <row r="6" spans="1:13" ht="34.5" customHeight="1" x14ac:dyDescent="0.35">
      <c r="A6" s="335" t="s">
        <v>0</v>
      </c>
      <c r="B6" s="336"/>
      <c r="C6" s="336"/>
      <c r="D6" s="336"/>
      <c r="E6" s="336"/>
      <c r="F6" s="336"/>
      <c r="G6" s="337"/>
      <c r="H6" s="35">
        <f>SUM(H8:H15)</f>
        <v>7575880</v>
      </c>
      <c r="I6" s="35">
        <f>SUM(I8:I15)</f>
        <v>9086223</v>
      </c>
      <c r="J6" s="35">
        <f>SUM(J8:J15)</f>
        <v>9200000</v>
      </c>
      <c r="K6" s="35">
        <f>SUM(K8:K15)</f>
        <v>9003000</v>
      </c>
      <c r="L6" s="36">
        <f>K6/J6*1-1</f>
        <v>-2.1413043478260896E-2</v>
      </c>
      <c r="M6" s="35">
        <f>K6-J6</f>
        <v>-197000</v>
      </c>
    </row>
    <row r="7" spans="1:13" x14ac:dyDescent="0.35">
      <c r="A7" s="338" t="s">
        <v>1</v>
      </c>
      <c r="B7" s="338"/>
      <c r="C7" s="338"/>
      <c r="D7" s="338"/>
      <c r="E7" s="338"/>
      <c r="F7" s="338"/>
      <c r="G7" s="338"/>
      <c r="H7" s="8">
        <v>67.78</v>
      </c>
      <c r="I7" s="8">
        <v>72.8</v>
      </c>
      <c r="J7" s="8">
        <v>75.489999999999995</v>
      </c>
      <c r="K7" s="8">
        <v>78.17</v>
      </c>
      <c r="L7" s="3"/>
      <c r="M7" s="3"/>
    </row>
    <row r="8" spans="1:13" ht="30" customHeight="1" x14ac:dyDescent="0.35">
      <c r="A8" s="8" t="s">
        <v>5</v>
      </c>
      <c r="B8" s="8"/>
      <c r="C8" s="8"/>
      <c r="D8" s="8"/>
      <c r="E8" s="8"/>
      <c r="F8" s="8"/>
      <c r="G8" s="29" t="s">
        <v>6</v>
      </c>
      <c r="H8" s="8">
        <v>6738879</v>
      </c>
      <c r="I8" s="8">
        <v>8101251</v>
      </c>
      <c r="J8" s="8">
        <v>8050000</v>
      </c>
      <c r="K8" s="8">
        <v>7684000</v>
      </c>
      <c r="L8" s="37">
        <f t="shared" ref="L8:L18" si="0">K8/J8*1-1</f>
        <v>-4.5465838509316736E-2</v>
      </c>
      <c r="M8" s="8">
        <f>K8-J8</f>
        <v>-366000</v>
      </c>
    </row>
    <row r="9" spans="1:13" ht="27.75" customHeight="1" x14ac:dyDescent="0.35">
      <c r="A9" s="8"/>
      <c r="B9" s="8"/>
      <c r="C9" s="8"/>
      <c r="D9" s="8"/>
      <c r="E9" s="8"/>
      <c r="F9" s="8"/>
      <c r="G9" s="28" t="s">
        <v>7</v>
      </c>
      <c r="H9" s="8">
        <v>684951</v>
      </c>
      <c r="I9" s="8">
        <v>825970</v>
      </c>
      <c r="J9" s="8">
        <v>1004000</v>
      </c>
      <c r="K9" s="8">
        <v>1149000</v>
      </c>
      <c r="L9" s="37">
        <f t="shared" si="0"/>
        <v>0.14442231075697221</v>
      </c>
      <c r="M9" s="8">
        <f t="shared" ref="M9:M18" si="1">K9-J9</f>
        <v>145000</v>
      </c>
    </row>
    <row r="10" spans="1:13" ht="21" customHeight="1" x14ac:dyDescent="0.35">
      <c r="A10" s="8"/>
      <c r="B10" s="8"/>
      <c r="C10" s="8"/>
      <c r="D10" s="8"/>
      <c r="E10" s="8"/>
      <c r="F10" s="8"/>
      <c r="G10" s="29" t="s">
        <v>3</v>
      </c>
      <c r="H10" s="8">
        <v>55028</v>
      </c>
      <c r="I10" s="8">
        <v>72115</v>
      </c>
      <c r="J10" s="8">
        <v>73000</v>
      </c>
      <c r="K10" s="8">
        <v>91000</v>
      </c>
      <c r="L10" s="37">
        <f t="shared" si="0"/>
        <v>0.24657534246575352</v>
      </c>
      <c r="M10" s="8">
        <f t="shared" si="1"/>
        <v>18000</v>
      </c>
    </row>
    <row r="11" spans="1:13" ht="18.75" customHeight="1" x14ac:dyDescent="0.35">
      <c r="A11" s="8"/>
      <c r="B11" s="8"/>
      <c r="C11" s="8"/>
      <c r="D11" s="8"/>
      <c r="E11" s="8"/>
      <c r="F11" s="8"/>
      <c r="G11" s="29" t="s">
        <v>2</v>
      </c>
      <c r="H11" s="8">
        <v>2317</v>
      </c>
      <c r="I11" s="8">
        <v>2317</v>
      </c>
      <c r="J11" s="8">
        <v>2000</v>
      </c>
      <c r="K11" s="8">
        <v>6000</v>
      </c>
      <c r="L11" s="37">
        <f t="shared" si="0"/>
        <v>2</v>
      </c>
      <c r="M11" s="8">
        <f t="shared" si="1"/>
        <v>4000</v>
      </c>
    </row>
    <row r="12" spans="1:13" ht="20.25" customHeight="1" x14ac:dyDescent="0.35">
      <c r="A12" s="8"/>
      <c r="B12" s="8"/>
      <c r="C12" s="8"/>
      <c r="D12" s="8"/>
      <c r="E12" s="8"/>
      <c r="F12" s="8"/>
      <c r="G12" s="29" t="s">
        <v>4</v>
      </c>
      <c r="H12" s="8">
        <v>57924</v>
      </c>
      <c r="I12" s="8">
        <v>57924</v>
      </c>
      <c r="J12" s="8">
        <v>58000</v>
      </c>
      <c r="K12" s="8">
        <v>58000</v>
      </c>
      <c r="L12" s="37">
        <f t="shared" si="0"/>
        <v>0</v>
      </c>
      <c r="M12" s="8">
        <f t="shared" si="1"/>
        <v>0</v>
      </c>
    </row>
    <row r="13" spans="1:13" ht="20.25" customHeight="1" x14ac:dyDescent="0.35">
      <c r="A13" s="8"/>
      <c r="B13" s="8"/>
      <c r="C13" s="8"/>
      <c r="D13" s="8"/>
      <c r="E13" s="8"/>
      <c r="F13" s="8"/>
      <c r="G13" s="29" t="s">
        <v>23</v>
      </c>
      <c r="H13" s="8">
        <v>1158</v>
      </c>
      <c r="I13" s="8">
        <v>290</v>
      </c>
      <c r="J13" s="8"/>
      <c r="K13" s="8">
        <v>5000</v>
      </c>
      <c r="L13" s="38" t="e">
        <f t="shared" si="0"/>
        <v>#DIV/0!</v>
      </c>
      <c r="M13" s="8">
        <f t="shared" si="1"/>
        <v>5000</v>
      </c>
    </row>
    <row r="14" spans="1:13" ht="20.25" customHeight="1" x14ac:dyDescent="0.35">
      <c r="A14" s="8"/>
      <c r="B14" s="8"/>
      <c r="C14" s="8"/>
      <c r="D14" s="8"/>
      <c r="E14" s="8"/>
      <c r="F14" s="8"/>
      <c r="G14" s="29" t="s">
        <v>40</v>
      </c>
      <c r="H14" s="8"/>
      <c r="I14" s="8"/>
      <c r="J14" s="8"/>
      <c r="K14" s="8"/>
      <c r="L14" s="38"/>
      <c r="M14" s="8"/>
    </row>
    <row r="15" spans="1:13" ht="19.5" customHeight="1" x14ac:dyDescent="0.35">
      <c r="A15" s="8"/>
      <c r="B15" s="8"/>
      <c r="C15" s="8"/>
      <c r="D15" s="8"/>
      <c r="E15" s="8"/>
      <c r="F15" s="8"/>
      <c r="G15" s="29" t="s">
        <v>41</v>
      </c>
      <c r="H15" s="8">
        <f>SUM(H16:H18)</f>
        <v>35623</v>
      </c>
      <c r="I15" s="8">
        <f>SUM(I16:I18)</f>
        <v>26356</v>
      </c>
      <c r="J15" s="8">
        <f>SUM(J16:J18)</f>
        <v>13000</v>
      </c>
      <c r="K15" s="8">
        <f>SUM(K16:K17)</f>
        <v>10000</v>
      </c>
      <c r="L15" s="37">
        <f t="shared" si="0"/>
        <v>-0.23076923076923073</v>
      </c>
      <c r="M15" s="8">
        <f t="shared" si="1"/>
        <v>-3000</v>
      </c>
    </row>
    <row r="16" spans="1:13" ht="19.5" customHeight="1" x14ac:dyDescent="0.35">
      <c r="A16" s="8"/>
      <c r="B16" s="8"/>
      <c r="C16" s="8"/>
      <c r="D16" s="8"/>
      <c r="E16" s="8"/>
      <c r="F16" s="8"/>
      <c r="G16" s="39" t="s">
        <v>35</v>
      </c>
      <c r="H16" s="40">
        <v>3186</v>
      </c>
      <c r="I16" s="40">
        <v>8689</v>
      </c>
      <c r="J16" s="40">
        <v>9000</v>
      </c>
      <c r="K16" s="40">
        <v>9000</v>
      </c>
      <c r="L16" s="41">
        <f t="shared" si="0"/>
        <v>0</v>
      </c>
      <c r="M16" s="40">
        <f t="shared" si="1"/>
        <v>0</v>
      </c>
    </row>
    <row r="17" spans="1:13" ht="19.5" customHeight="1" x14ac:dyDescent="0.35">
      <c r="A17" s="8"/>
      <c r="B17" s="8"/>
      <c r="C17" s="8"/>
      <c r="D17" s="8"/>
      <c r="E17" s="8"/>
      <c r="F17" s="8"/>
      <c r="G17" s="39" t="s">
        <v>36</v>
      </c>
      <c r="H17" s="40">
        <v>17377</v>
      </c>
      <c r="I17" s="40">
        <v>3186</v>
      </c>
      <c r="J17" s="40">
        <v>2000</v>
      </c>
      <c r="K17" s="40">
        <v>1000</v>
      </c>
      <c r="L17" s="41">
        <f t="shared" si="0"/>
        <v>-0.5</v>
      </c>
      <c r="M17" s="40">
        <f t="shared" si="1"/>
        <v>-1000</v>
      </c>
    </row>
    <row r="18" spans="1:13" ht="19.5" customHeight="1" x14ac:dyDescent="0.35">
      <c r="A18" s="8"/>
      <c r="B18" s="8"/>
      <c r="C18" s="8"/>
      <c r="D18" s="8"/>
      <c r="E18" s="8"/>
      <c r="F18" s="8"/>
      <c r="G18" s="39" t="s">
        <v>38</v>
      </c>
      <c r="H18" s="40">
        <v>15060</v>
      </c>
      <c r="I18" s="40">
        <v>14481</v>
      </c>
      <c r="J18" s="40">
        <v>2000</v>
      </c>
      <c r="K18" s="40"/>
      <c r="L18" s="41">
        <f t="shared" si="0"/>
        <v>-1</v>
      </c>
      <c r="M18" s="40">
        <f t="shared" si="1"/>
        <v>-2000</v>
      </c>
    </row>
    <row r="19" spans="1:13" ht="29.25" customHeight="1" x14ac:dyDescent="0.35">
      <c r="A19" s="335" t="s">
        <v>8</v>
      </c>
      <c r="B19" s="336"/>
      <c r="C19" s="336"/>
      <c r="D19" s="336"/>
      <c r="E19" s="336"/>
      <c r="F19" s="336"/>
      <c r="G19" s="337"/>
      <c r="H19" s="35">
        <v>1808677</v>
      </c>
      <c r="I19" s="35">
        <v>15113300</v>
      </c>
      <c r="J19" s="35">
        <v>1958000</v>
      </c>
      <c r="K19" s="35">
        <v>2459000</v>
      </c>
      <c r="L19" s="36">
        <f>K19/J19*1-1</f>
        <v>0.25587334014300311</v>
      </c>
      <c r="M19" s="35">
        <f>K19-J19</f>
        <v>501000</v>
      </c>
    </row>
    <row r="20" spans="1:13" ht="26.25" customHeight="1" x14ac:dyDescent="0.35">
      <c r="A20" s="30"/>
      <c r="B20" s="30"/>
      <c r="C20" s="30"/>
      <c r="D20" s="30"/>
      <c r="E20" s="30"/>
      <c r="F20" s="30"/>
      <c r="G20" s="32" t="s">
        <v>39</v>
      </c>
      <c r="H20" s="30"/>
      <c r="I20" s="30"/>
      <c r="J20" s="30"/>
      <c r="K20" s="30">
        <v>22000</v>
      </c>
      <c r="L20" s="31"/>
      <c r="M20" s="30"/>
    </row>
    <row r="21" spans="1:13" ht="39" customHeight="1" x14ac:dyDescent="0.35">
      <c r="A21" s="339" t="s">
        <v>12</v>
      </c>
      <c r="B21" s="340"/>
      <c r="C21" s="340"/>
      <c r="D21" s="340"/>
      <c r="E21" s="340"/>
      <c r="F21" s="340"/>
      <c r="G21" s="341"/>
      <c r="H21" s="42">
        <f>SUM(H6,H19)</f>
        <v>9384557</v>
      </c>
      <c r="I21" s="42">
        <f>SUM(I6,I19)</f>
        <v>24199523</v>
      </c>
      <c r="J21" s="42">
        <f>SUM(J6,J19)</f>
        <v>11158000</v>
      </c>
      <c r="K21" s="42">
        <f>SUM(K6,K19)</f>
        <v>11462000</v>
      </c>
      <c r="L21" s="43">
        <f>K21/J21*1-1</f>
        <v>2.7245025990320748E-2</v>
      </c>
      <c r="M21" s="42">
        <f>K21-J21</f>
        <v>304000</v>
      </c>
    </row>
    <row r="22" spans="1:13" s="16" customFormat="1" ht="25.5" customHeight="1" x14ac:dyDescent="0.3">
      <c r="A22" s="15" t="s">
        <v>25</v>
      </c>
      <c r="B22" s="15"/>
      <c r="C22" s="15"/>
      <c r="D22" s="15"/>
      <c r="E22" s="15"/>
      <c r="F22" s="15"/>
      <c r="G22" s="15"/>
      <c r="H22" s="15"/>
      <c r="I22" s="15"/>
      <c r="J22" s="15">
        <v>236275</v>
      </c>
      <c r="K22" s="15">
        <v>17576</v>
      </c>
      <c r="L22" s="11">
        <f t="shared" ref="L22:L38" si="2">K22/J22*1-1</f>
        <v>-0.92561210453920217</v>
      </c>
      <c r="M22" s="9">
        <f t="shared" ref="M22:M43" si="3">K22-J22</f>
        <v>-218699</v>
      </c>
    </row>
    <row r="23" spans="1:13" ht="24.75" customHeight="1" x14ac:dyDescent="0.35">
      <c r="A23" s="9" t="s">
        <v>26</v>
      </c>
      <c r="B23" s="9"/>
      <c r="C23" s="9"/>
      <c r="D23" s="9"/>
      <c r="E23" s="9"/>
      <c r="F23" s="9"/>
      <c r="G23" s="10"/>
      <c r="H23" s="9">
        <f>SUM(H24:H28)</f>
        <v>4870697</v>
      </c>
      <c r="I23" s="9">
        <f>SUM(I24:I28)</f>
        <v>4518960</v>
      </c>
      <c r="J23" s="9">
        <f>SUM(J24:J28)</f>
        <v>4826386</v>
      </c>
      <c r="K23" s="9">
        <f>SUM(K24:K28)</f>
        <v>4897900</v>
      </c>
      <c r="L23" s="11">
        <f t="shared" si="2"/>
        <v>1.4817298077692165E-2</v>
      </c>
      <c r="M23" s="9">
        <f t="shared" si="3"/>
        <v>71514</v>
      </c>
    </row>
    <row r="24" spans="1:13" ht="23.25" customHeight="1" x14ac:dyDescent="0.35">
      <c r="A24" s="3"/>
      <c r="B24" s="3"/>
      <c r="C24" s="3"/>
      <c r="D24" s="3"/>
      <c r="E24" s="3"/>
      <c r="F24" s="3"/>
      <c r="G24" s="28" t="s">
        <v>42</v>
      </c>
      <c r="H24" s="3">
        <v>1270256</v>
      </c>
      <c r="I24" s="3">
        <v>851702</v>
      </c>
      <c r="J24" s="13">
        <v>925830</v>
      </c>
      <c r="K24" s="33">
        <v>963700</v>
      </c>
      <c r="L24" s="12">
        <f t="shared" si="2"/>
        <v>4.090383763757921E-2</v>
      </c>
      <c r="M24" s="3">
        <f t="shared" si="3"/>
        <v>37870</v>
      </c>
    </row>
    <row r="25" spans="1:13" ht="21.75" customHeight="1" x14ac:dyDescent="0.35">
      <c r="A25" s="3"/>
      <c r="B25" s="3"/>
      <c r="C25" s="3"/>
      <c r="D25" s="3"/>
      <c r="E25" s="3"/>
      <c r="F25" s="3"/>
      <c r="G25" s="29" t="s">
        <v>9</v>
      </c>
      <c r="H25" s="3">
        <v>3578835</v>
      </c>
      <c r="I25" s="3">
        <v>3643232</v>
      </c>
      <c r="J25" s="13">
        <v>3850000</v>
      </c>
      <c r="K25" s="13">
        <v>3905000</v>
      </c>
      <c r="L25" s="12">
        <f t="shared" si="2"/>
        <v>1.4285714285714235E-2</v>
      </c>
      <c r="M25" s="3">
        <f t="shared" si="3"/>
        <v>55000</v>
      </c>
    </row>
    <row r="26" spans="1:13" ht="30" customHeight="1" x14ac:dyDescent="0.35">
      <c r="A26" s="3"/>
      <c r="B26" s="3"/>
      <c r="C26" s="3"/>
      <c r="D26" s="3"/>
      <c r="E26" s="3"/>
      <c r="F26" s="3"/>
      <c r="G26" s="28" t="s">
        <v>10</v>
      </c>
      <c r="H26" s="3">
        <v>21606</v>
      </c>
      <c r="I26" s="3">
        <v>23476</v>
      </c>
      <c r="J26" s="13">
        <v>28000</v>
      </c>
      <c r="K26" s="13">
        <v>29200</v>
      </c>
      <c r="L26" s="12">
        <f t="shared" si="2"/>
        <v>4.2857142857142927E-2</v>
      </c>
      <c r="M26" s="3">
        <f t="shared" si="3"/>
        <v>1200</v>
      </c>
    </row>
    <row r="27" spans="1:13" ht="27.75" customHeight="1" x14ac:dyDescent="0.35">
      <c r="A27" s="3"/>
      <c r="B27" s="3"/>
      <c r="C27" s="3"/>
      <c r="D27" s="3"/>
      <c r="E27" s="3"/>
      <c r="F27" s="3"/>
      <c r="G27" s="28" t="s">
        <v>11</v>
      </c>
      <c r="H27" s="3"/>
      <c r="I27" s="3">
        <v>550</v>
      </c>
      <c r="J27" s="3"/>
      <c r="K27" s="13"/>
      <c r="L27" s="21" t="e">
        <f t="shared" si="2"/>
        <v>#DIV/0!</v>
      </c>
      <c r="M27" s="3">
        <f t="shared" si="3"/>
        <v>0</v>
      </c>
    </row>
    <row r="28" spans="1:13" x14ac:dyDescent="0.35">
      <c r="A28" s="3"/>
      <c r="B28" s="3"/>
      <c r="C28" s="3"/>
      <c r="D28" s="3"/>
      <c r="E28" s="3"/>
      <c r="F28" s="3"/>
      <c r="G28" s="28" t="s">
        <v>24</v>
      </c>
      <c r="H28" s="3"/>
      <c r="I28" s="3"/>
      <c r="J28" s="13">
        <v>22556</v>
      </c>
      <c r="K28" s="13"/>
      <c r="L28" s="12"/>
      <c r="M28" s="3">
        <f t="shared" si="3"/>
        <v>-22556</v>
      </c>
    </row>
    <row r="29" spans="1:13" x14ac:dyDescent="0.35">
      <c r="A29" s="17" t="s">
        <v>44</v>
      </c>
      <c r="B29" s="17"/>
      <c r="C29" s="17"/>
      <c r="D29" s="17"/>
      <c r="E29" s="17"/>
      <c r="F29" s="17"/>
      <c r="G29" s="18" t="s">
        <v>43</v>
      </c>
      <c r="H29" s="3"/>
      <c r="I29" s="3"/>
      <c r="J29" s="13"/>
      <c r="K29" s="19">
        <v>43800</v>
      </c>
      <c r="L29" s="12"/>
      <c r="M29" s="3"/>
    </row>
    <row r="30" spans="1:13" ht="24.5" x14ac:dyDescent="0.35">
      <c r="A30" s="9" t="s">
        <v>50</v>
      </c>
      <c r="B30" s="9"/>
      <c r="C30" s="9"/>
      <c r="D30" s="9"/>
      <c r="E30" s="9"/>
      <c r="F30" s="9"/>
      <c r="G30" s="18" t="s">
        <v>27</v>
      </c>
      <c r="H30" s="3"/>
      <c r="I30" s="3"/>
      <c r="J30" s="19">
        <v>451800</v>
      </c>
      <c r="K30" s="23"/>
      <c r="L30" s="20"/>
      <c r="M30" s="17">
        <f t="shared" si="3"/>
        <v>-451800</v>
      </c>
    </row>
    <row r="31" spans="1:13" ht="19.5" customHeight="1" x14ac:dyDescent="0.35">
      <c r="A31" s="9" t="s">
        <v>51</v>
      </c>
      <c r="B31" s="9"/>
      <c r="C31" s="9"/>
      <c r="D31" s="9"/>
      <c r="E31" s="9"/>
      <c r="F31" s="9"/>
      <c r="G31" s="10"/>
      <c r="H31" s="9">
        <f>SUM(H32)</f>
        <v>196942</v>
      </c>
      <c r="I31" s="9">
        <f>SUM(I32)</f>
        <v>289620</v>
      </c>
      <c r="J31" s="15">
        <f>SUM(J32)</f>
        <v>300000</v>
      </c>
      <c r="K31" s="15">
        <f>SUM(K32)</f>
        <v>0</v>
      </c>
      <c r="L31" s="11">
        <f t="shared" si="2"/>
        <v>-1</v>
      </c>
      <c r="M31" s="9">
        <f t="shared" si="3"/>
        <v>-300000</v>
      </c>
    </row>
    <row r="32" spans="1:13" ht="26.25" customHeight="1" x14ac:dyDescent="0.35">
      <c r="A32" s="3"/>
      <c r="B32" s="3"/>
      <c r="C32" s="3"/>
      <c r="D32" s="3"/>
      <c r="E32" s="3"/>
      <c r="F32" s="3"/>
      <c r="G32" s="4" t="s">
        <v>52</v>
      </c>
      <c r="H32" s="3">
        <v>196942</v>
      </c>
      <c r="I32" s="3">
        <v>289620</v>
      </c>
      <c r="J32" s="13">
        <v>300000</v>
      </c>
      <c r="K32" s="22"/>
      <c r="L32" s="12">
        <f t="shared" si="2"/>
        <v>-1</v>
      </c>
      <c r="M32" s="3">
        <f t="shared" si="3"/>
        <v>-300000</v>
      </c>
    </row>
    <row r="33" spans="1:13" ht="33" customHeight="1" x14ac:dyDescent="0.35">
      <c r="A33" s="44" t="s">
        <v>53</v>
      </c>
      <c r="B33" s="44"/>
      <c r="C33" s="44"/>
      <c r="D33" s="44"/>
      <c r="E33" s="44"/>
      <c r="F33" s="44"/>
      <c r="G33" s="44"/>
      <c r="H33" s="44">
        <f>SUM(H21,H23,H31)</f>
        <v>14452196</v>
      </c>
      <c r="I33" s="44">
        <f>SUM(I21,I23,I31)</f>
        <v>29008103</v>
      </c>
      <c r="J33" s="44">
        <f>SUM(J30,J22,J21,J23,J31)</f>
        <v>16972461</v>
      </c>
      <c r="K33" s="44">
        <f>SUM(K29,K30,K22,K21,K23,K31)</f>
        <v>16421276</v>
      </c>
      <c r="L33" s="45">
        <f t="shared" si="2"/>
        <v>-3.2475255061714337E-2</v>
      </c>
      <c r="M33" s="44">
        <f t="shared" si="3"/>
        <v>-551185</v>
      </c>
    </row>
    <row r="34" spans="1:13" x14ac:dyDescent="0.35">
      <c r="A34" s="8" t="s">
        <v>15</v>
      </c>
      <c r="B34" s="8"/>
      <c r="C34" s="8"/>
      <c r="D34" s="8"/>
      <c r="E34" s="8"/>
      <c r="F34" s="8"/>
      <c r="G34" s="29" t="s">
        <v>13</v>
      </c>
      <c r="H34" s="8">
        <v>848297</v>
      </c>
      <c r="I34" s="8">
        <v>887106</v>
      </c>
      <c r="J34" s="8">
        <v>913840</v>
      </c>
      <c r="K34" s="46">
        <v>966400</v>
      </c>
      <c r="L34" s="37">
        <f t="shared" si="2"/>
        <v>5.7515538825177348E-2</v>
      </c>
      <c r="M34" s="8">
        <f t="shared" si="3"/>
        <v>52560</v>
      </c>
    </row>
    <row r="35" spans="1:13" x14ac:dyDescent="0.35">
      <c r="A35" s="8" t="s">
        <v>28</v>
      </c>
      <c r="B35" s="8"/>
      <c r="C35" s="8"/>
      <c r="D35" s="8"/>
      <c r="E35" s="8"/>
      <c r="F35" s="8"/>
      <c r="G35" s="29" t="s">
        <v>34</v>
      </c>
      <c r="H35" s="8">
        <v>290</v>
      </c>
      <c r="I35" s="8"/>
      <c r="J35" s="8">
        <v>2000</v>
      </c>
      <c r="K35" s="8">
        <v>1000</v>
      </c>
      <c r="L35" s="37">
        <f t="shared" si="2"/>
        <v>-0.5</v>
      </c>
      <c r="M35" s="8">
        <f t="shared" si="3"/>
        <v>-1000</v>
      </c>
    </row>
    <row r="36" spans="1:13" x14ac:dyDescent="0.35">
      <c r="A36" s="8" t="s">
        <v>29</v>
      </c>
      <c r="B36" s="8"/>
      <c r="C36" s="8"/>
      <c r="D36" s="8"/>
      <c r="E36" s="8"/>
      <c r="F36" s="8"/>
      <c r="G36" s="29" t="s">
        <v>14</v>
      </c>
      <c r="H36" s="8">
        <v>49235</v>
      </c>
      <c r="I36" s="8">
        <v>44022</v>
      </c>
      <c r="J36" s="8">
        <v>41130</v>
      </c>
      <c r="K36" s="46">
        <v>41000</v>
      </c>
      <c r="L36" s="37">
        <f t="shared" si="2"/>
        <v>-3.1607099440797981E-3</v>
      </c>
      <c r="M36" s="8">
        <f t="shared" si="3"/>
        <v>-130</v>
      </c>
    </row>
    <row r="37" spans="1:13" x14ac:dyDescent="0.35">
      <c r="A37" s="8" t="s">
        <v>37</v>
      </c>
      <c r="B37" s="8"/>
      <c r="C37" s="8"/>
      <c r="D37" s="8"/>
      <c r="E37" s="8"/>
      <c r="F37" s="8"/>
      <c r="G37" s="29" t="s">
        <v>16</v>
      </c>
      <c r="H37" s="8">
        <v>2896</v>
      </c>
      <c r="I37" s="8">
        <v>6082</v>
      </c>
      <c r="J37" s="8">
        <v>5000</v>
      </c>
      <c r="K37" s="8">
        <v>5000</v>
      </c>
      <c r="L37" s="37">
        <f t="shared" si="2"/>
        <v>0</v>
      </c>
      <c r="M37" s="8">
        <f t="shared" si="3"/>
        <v>0</v>
      </c>
    </row>
    <row r="38" spans="1:13" ht="24.75" customHeight="1" x14ac:dyDescent="0.35">
      <c r="A38" s="5"/>
      <c r="B38" s="5"/>
      <c r="C38" s="5"/>
      <c r="D38" s="5"/>
      <c r="E38" s="5"/>
      <c r="F38" s="5"/>
      <c r="G38" s="6" t="s">
        <v>17</v>
      </c>
      <c r="H38" s="47">
        <f>SUM(H33:H37)</f>
        <v>15352914</v>
      </c>
      <c r="I38" s="47">
        <f>SUM(I33:I37)</f>
        <v>29945313</v>
      </c>
      <c r="J38" s="47">
        <f>SUM(J33:J37)</f>
        <v>17934431</v>
      </c>
      <c r="K38" s="47">
        <f>SUM(K33:K37)</f>
        <v>17434676</v>
      </c>
      <c r="L38" s="48">
        <f t="shared" si="2"/>
        <v>-2.7865673575035665E-2</v>
      </c>
      <c r="M38" s="47">
        <f t="shared" si="3"/>
        <v>-499755</v>
      </c>
    </row>
    <row r="39" spans="1:13" ht="21" customHeight="1" x14ac:dyDescent="0.35">
      <c r="A39" s="24"/>
      <c r="B39" s="24"/>
      <c r="C39" s="24"/>
      <c r="D39" s="24"/>
      <c r="E39" s="24"/>
      <c r="F39" s="24"/>
      <c r="G39" s="27" t="s">
        <v>45</v>
      </c>
      <c r="H39" s="49">
        <v>596303</v>
      </c>
      <c r="I39" s="49">
        <v>812350</v>
      </c>
      <c r="J39" s="49">
        <v>609310</v>
      </c>
      <c r="K39" s="49">
        <v>1370751</v>
      </c>
      <c r="L39" s="50"/>
      <c r="M39" s="49"/>
    </row>
    <row r="40" spans="1:13" ht="24.75" customHeight="1" x14ac:dyDescent="0.35">
      <c r="A40" s="5"/>
      <c r="B40" s="5"/>
      <c r="C40" s="5"/>
      <c r="D40" s="5"/>
      <c r="E40" s="5"/>
      <c r="F40" s="5"/>
      <c r="G40" s="6" t="s">
        <v>46</v>
      </c>
      <c r="H40" s="47">
        <f>SUM(H38:H39)</f>
        <v>15949217</v>
      </c>
      <c r="I40" s="47">
        <f>SUM(I38:I39)</f>
        <v>30757663</v>
      </c>
      <c r="J40" s="47">
        <f>SUM(J38:J39)</f>
        <v>18543741</v>
      </c>
      <c r="K40" s="47">
        <f>SUM(K38:K39)</f>
        <v>18805427</v>
      </c>
      <c r="L40" s="48">
        <f>K40/J40*1-1</f>
        <v>1.4111823498829112E-2</v>
      </c>
      <c r="M40" s="47">
        <f>K40-J40</f>
        <v>261686</v>
      </c>
    </row>
    <row r="41" spans="1:13" ht="26.25" customHeight="1" x14ac:dyDescent="0.35">
      <c r="A41" s="25"/>
      <c r="B41" s="25"/>
      <c r="C41" s="25"/>
      <c r="D41" s="25"/>
      <c r="E41" s="25"/>
      <c r="F41" s="25"/>
      <c r="G41" s="26" t="s">
        <v>33</v>
      </c>
      <c r="H41" s="51">
        <v>1407727</v>
      </c>
      <c r="I41" s="51">
        <v>1119202</v>
      </c>
      <c r="J41" s="51">
        <v>358980</v>
      </c>
      <c r="K41" s="52">
        <v>374173</v>
      </c>
      <c r="L41" s="53">
        <f>K41/J41*1-1</f>
        <v>4.2322692071981693E-2</v>
      </c>
      <c r="M41" s="51">
        <f>K41-J41</f>
        <v>15193</v>
      </c>
    </row>
    <row r="42" spans="1:13" ht="26.25" customHeight="1" x14ac:dyDescent="0.35">
      <c r="A42" s="25"/>
      <c r="B42" s="25"/>
      <c r="C42" s="25"/>
      <c r="D42" s="25"/>
      <c r="E42" s="25"/>
      <c r="F42" s="25"/>
      <c r="G42" s="26" t="s">
        <v>47</v>
      </c>
      <c r="H42" s="51">
        <v>58271</v>
      </c>
      <c r="I42" s="51">
        <v>178172</v>
      </c>
      <c r="J42" s="51">
        <v>708350</v>
      </c>
      <c r="K42" s="52">
        <v>394800</v>
      </c>
      <c r="L42" s="53">
        <f>K42/J42*1-1</f>
        <v>-0.44264840827274654</v>
      </c>
      <c r="M42" s="51">
        <f>K42-J42</f>
        <v>-313550</v>
      </c>
    </row>
    <row r="43" spans="1:13" ht="24" customHeight="1" x14ac:dyDescent="0.35">
      <c r="A43" s="14"/>
      <c r="B43" s="14"/>
      <c r="C43" s="14"/>
      <c r="D43" s="14"/>
      <c r="E43" s="14"/>
      <c r="F43" s="14"/>
      <c r="G43" s="54" t="s">
        <v>48</v>
      </c>
      <c r="H43" s="55">
        <f>H40+H41-H42</f>
        <v>17298673</v>
      </c>
      <c r="I43" s="55">
        <f>I40+I41-I42</f>
        <v>31698693</v>
      </c>
      <c r="J43" s="55">
        <f>J40+J41-J42</f>
        <v>18194371</v>
      </c>
      <c r="K43" s="55">
        <f>K40+K41-K42</f>
        <v>18784800</v>
      </c>
      <c r="L43" s="56">
        <f>K43/J43*1-1</f>
        <v>3.2451190535798036E-2</v>
      </c>
      <c r="M43" s="55">
        <f t="shared" si="3"/>
        <v>590429</v>
      </c>
    </row>
  </sheetData>
  <mergeCells count="10">
    <mergeCell ref="A6:G6"/>
    <mergeCell ref="A7:G7"/>
    <mergeCell ref="A19:G19"/>
    <mergeCell ref="A21:G21"/>
    <mergeCell ref="A4:G5"/>
    <mergeCell ref="H4:H5"/>
    <mergeCell ref="I4:I5"/>
    <mergeCell ref="J4:J5"/>
    <mergeCell ref="K4:K5"/>
    <mergeCell ref="L4:M4"/>
  </mergeCells>
  <pageMargins left="0.70866141732283472" right="0.70866141732283472" top="0.55118110236220474" bottom="0.15748031496062992" header="0.31496062992125984" footer="0.31496062992125984"/>
  <pageSetup paperSize="9" scale="105" orientation="landscape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Q138"/>
  <sheetViews>
    <sheetView zoomScale="130" zoomScaleNormal="130" workbookViewId="0">
      <selection activeCell="AH8" sqref="AH8"/>
    </sheetView>
  </sheetViews>
  <sheetFormatPr defaultRowHeight="14.5" x14ac:dyDescent="0.35"/>
  <cols>
    <col min="1" max="1" width="5.81640625" customWidth="1"/>
    <col min="2" max="6" width="9.1796875" hidden="1" customWidth="1"/>
    <col min="7" max="7" width="48.54296875" style="2" customWidth="1"/>
    <col min="8" max="9" width="8.81640625" hidden="1" customWidth="1"/>
    <col min="10" max="10" width="0" hidden="1" customWidth="1"/>
    <col min="11" max="11" width="10.54296875" hidden="1" customWidth="1"/>
    <col min="12" max="13" width="10" hidden="1" customWidth="1"/>
    <col min="14" max="14" width="9.54296875" customWidth="1"/>
    <col min="15" max="15" width="10.54296875" hidden="1" customWidth="1"/>
    <col min="16" max="17" width="10.1796875" hidden="1" customWidth="1"/>
    <col min="18" max="18" width="9.54296875" hidden="1" customWidth="1"/>
    <col min="19" max="19" width="10.1796875" customWidth="1"/>
    <col min="20" max="20" width="12.453125" hidden="1" customWidth="1"/>
    <col min="21" max="21" width="10.1796875" hidden="1" customWidth="1"/>
    <col min="22" max="23" width="9.54296875" hidden="1" customWidth="1"/>
    <col min="24" max="24" width="6.81640625" hidden="1" customWidth="1"/>
    <col min="25" max="25" width="11.54296875" hidden="1" customWidth="1"/>
    <col min="26" max="26" width="11.453125" hidden="1" customWidth="1"/>
    <col min="27" max="27" width="10.1796875" hidden="1" customWidth="1"/>
    <col min="28" max="28" width="11.453125" hidden="1" customWidth="1"/>
    <col min="29" max="29" width="8" hidden="1" customWidth="1"/>
    <col min="30" max="30" width="12.1796875" hidden="1" customWidth="1"/>
    <col min="31" max="31" width="9.81640625" customWidth="1"/>
    <col min="32" max="32" width="10.1796875" customWidth="1"/>
    <col min="33" max="33" width="10.1796875" hidden="1" customWidth="1"/>
    <col min="34" max="34" width="10.1796875" customWidth="1"/>
    <col min="35" max="35" width="9.1796875" customWidth="1"/>
    <col min="36" max="36" width="9.54296875" customWidth="1"/>
    <col min="37" max="37" width="10.81640625" hidden="1" customWidth="1"/>
    <col min="38" max="38" width="8.81640625" hidden="1" customWidth="1"/>
    <col min="39" max="39" width="7.81640625" hidden="1" customWidth="1"/>
    <col min="40" max="40" width="10.453125" hidden="1" customWidth="1"/>
    <col min="41" max="41" width="8.54296875" hidden="1" customWidth="1"/>
    <col min="42" max="42" width="10" hidden="1" customWidth="1"/>
    <col min="43" max="43" width="8" hidden="1" customWidth="1"/>
  </cols>
  <sheetData>
    <row r="2" spans="1:43" x14ac:dyDescent="0.35">
      <c r="A2" s="342" t="s">
        <v>223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</row>
    <row r="3" spans="1:43" x14ac:dyDescent="0.35">
      <c r="A3" s="1"/>
      <c r="B3" s="1"/>
      <c r="C3" s="1"/>
      <c r="D3" s="1"/>
      <c r="E3" s="1"/>
      <c r="F3" s="1"/>
      <c r="G3" s="1"/>
      <c r="H3" s="1"/>
      <c r="I3" s="1"/>
      <c r="Q3" s="57">
        <v>42948</v>
      </c>
    </row>
    <row r="4" spans="1:43" ht="24" customHeight="1" x14ac:dyDescent="0.35">
      <c r="A4" s="343" t="s">
        <v>18</v>
      </c>
      <c r="B4" s="343"/>
      <c r="C4" s="343"/>
      <c r="D4" s="343"/>
      <c r="E4" s="343"/>
      <c r="F4" s="343"/>
      <c r="G4" s="343"/>
      <c r="H4" s="356" t="s">
        <v>20</v>
      </c>
      <c r="I4" s="344" t="s">
        <v>85</v>
      </c>
      <c r="J4" s="344" t="s">
        <v>123</v>
      </c>
      <c r="K4" s="344" t="s">
        <v>86</v>
      </c>
      <c r="L4" s="344" t="s">
        <v>124</v>
      </c>
      <c r="M4" s="344" t="s">
        <v>62</v>
      </c>
      <c r="N4" s="344" t="s">
        <v>125</v>
      </c>
      <c r="O4" s="343" t="s">
        <v>32</v>
      </c>
      <c r="P4" s="343"/>
      <c r="Q4" s="344" t="s">
        <v>69</v>
      </c>
      <c r="R4" s="356" t="s">
        <v>55</v>
      </c>
      <c r="S4" s="344" t="s">
        <v>174</v>
      </c>
      <c r="T4" s="343" t="s">
        <v>82</v>
      </c>
      <c r="U4" s="343"/>
      <c r="V4" s="356" t="s">
        <v>56</v>
      </c>
      <c r="W4" s="356" t="s">
        <v>57</v>
      </c>
      <c r="Y4" s="357" t="s">
        <v>117</v>
      </c>
      <c r="Z4" s="358"/>
      <c r="AA4" s="358"/>
      <c r="AB4" s="358"/>
      <c r="AC4" s="359"/>
      <c r="AD4" s="356" t="s">
        <v>56</v>
      </c>
      <c r="AE4" s="344" t="s">
        <v>217</v>
      </c>
      <c r="AF4" s="356" t="s">
        <v>204</v>
      </c>
      <c r="AG4" s="344" t="s">
        <v>236</v>
      </c>
      <c r="AH4" s="344" t="s">
        <v>224</v>
      </c>
      <c r="AI4" s="356" t="s">
        <v>232</v>
      </c>
      <c r="AJ4" s="356"/>
      <c r="AK4" s="357" t="s">
        <v>209</v>
      </c>
      <c r="AL4" s="358"/>
      <c r="AM4" s="358"/>
      <c r="AN4" s="358"/>
      <c r="AO4" s="358"/>
      <c r="AP4" s="358"/>
      <c r="AQ4" s="359"/>
    </row>
    <row r="5" spans="1:43" ht="77.150000000000006" customHeight="1" x14ac:dyDescent="0.35">
      <c r="A5" s="343"/>
      <c r="B5" s="343"/>
      <c r="C5" s="343"/>
      <c r="D5" s="343"/>
      <c r="E5" s="343"/>
      <c r="F5" s="343"/>
      <c r="G5" s="343"/>
      <c r="H5" s="356"/>
      <c r="I5" s="345"/>
      <c r="J5" s="345"/>
      <c r="K5" s="345"/>
      <c r="L5" s="345"/>
      <c r="M5" s="345"/>
      <c r="N5" s="345"/>
      <c r="O5" s="7" t="s">
        <v>21</v>
      </c>
      <c r="P5" s="7" t="s">
        <v>22</v>
      </c>
      <c r="Q5" s="345"/>
      <c r="R5" s="356"/>
      <c r="S5" s="345"/>
      <c r="T5" s="7" t="s">
        <v>21</v>
      </c>
      <c r="U5" s="7" t="s">
        <v>22</v>
      </c>
      <c r="V5" s="356"/>
      <c r="W5" s="356"/>
      <c r="Y5" s="94" t="s">
        <v>118</v>
      </c>
      <c r="Z5" s="94" t="s">
        <v>119</v>
      </c>
      <c r="AA5" s="94" t="s">
        <v>120</v>
      </c>
      <c r="AB5" s="94" t="s">
        <v>122</v>
      </c>
      <c r="AC5" s="94" t="s">
        <v>121</v>
      </c>
      <c r="AD5" s="356"/>
      <c r="AE5" s="345"/>
      <c r="AF5" s="356"/>
      <c r="AG5" s="345"/>
      <c r="AH5" s="345"/>
      <c r="AI5" s="140" t="s">
        <v>21</v>
      </c>
      <c r="AJ5" s="140" t="s">
        <v>22</v>
      </c>
      <c r="AK5" s="94" t="s">
        <v>118</v>
      </c>
      <c r="AL5" s="137" t="s">
        <v>210</v>
      </c>
      <c r="AM5" s="137" t="s">
        <v>211</v>
      </c>
      <c r="AN5" s="94" t="s">
        <v>119</v>
      </c>
      <c r="AO5" s="94" t="s">
        <v>120</v>
      </c>
      <c r="AP5" s="94" t="s">
        <v>122</v>
      </c>
      <c r="AQ5" s="94" t="s">
        <v>121</v>
      </c>
    </row>
    <row r="6" spans="1:43" ht="34.5" customHeight="1" x14ac:dyDescent="0.35">
      <c r="A6" s="335" t="s">
        <v>126</v>
      </c>
      <c r="B6" s="336"/>
      <c r="C6" s="336"/>
      <c r="D6" s="336"/>
      <c r="E6" s="336"/>
      <c r="F6" s="336"/>
      <c r="G6" s="337"/>
      <c r="H6" s="35">
        <f>SUM(H9,H28,H29,H30,H31,H32,H33)</f>
        <v>7575880</v>
      </c>
      <c r="I6" s="35"/>
      <c r="J6" s="35">
        <f t="shared" ref="J6:S6" si="0">SUM(J9,J28,J29,J30,J31,J32,J33)</f>
        <v>9086223</v>
      </c>
      <c r="K6" s="35">
        <f t="shared" si="0"/>
        <v>8838271.4000000004</v>
      </c>
      <c r="L6" s="35">
        <f t="shared" si="0"/>
        <v>9200000</v>
      </c>
      <c r="M6" s="35">
        <f t="shared" si="0"/>
        <v>9244134.879999999</v>
      </c>
      <c r="N6" s="35">
        <f t="shared" si="0"/>
        <v>9003000</v>
      </c>
      <c r="O6" s="35" t="e">
        <f t="shared" si="0"/>
        <v>#DIV/0!</v>
      </c>
      <c r="P6" s="35">
        <f t="shared" si="0"/>
        <v>-197000</v>
      </c>
      <c r="Q6" s="35">
        <f t="shared" si="0"/>
        <v>41917.58</v>
      </c>
      <c r="R6" s="35">
        <f t="shared" si="0"/>
        <v>9002600</v>
      </c>
      <c r="S6" s="35">
        <f t="shared" si="0"/>
        <v>15087000</v>
      </c>
      <c r="T6" s="36">
        <f>S6/N6*1-1</f>
        <v>0.6757747417527491</v>
      </c>
      <c r="U6" s="35">
        <f>S6-N6</f>
        <v>6084000</v>
      </c>
      <c r="V6" s="35">
        <f>SUM(V9:V33)</f>
        <v>153900</v>
      </c>
      <c r="W6" s="35">
        <f>SUM(W9:W33)</f>
        <v>153900</v>
      </c>
      <c r="Y6" s="35">
        <f t="shared" ref="Y6:AE6" si="1">SUM(Y9,Y28,Y29,Y30,Y31,Y32,Y33)</f>
        <v>15087000</v>
      </c>
      <c r="Z6" s="35">
        <f t="shared" si="1"/>
        <v>0</v>
      </c>
      <c r="AA6" s="35">
        <f t="shared" si="1"/>
        <v>0</v>
      </c>
      <c r="AB6" s="35">
        <f t="shared" si="1"/>
        <v>0</v>
      </c>
      <c r="AC6" s="35">
        <f t="shared" si="1"/>
        <v>0</v>
      </c>
      <c r="AD6" s="35">
        <f t="shared" si="1"/>
        <v>15321000</v>
      </c>
      <c r="AE6" s="35">
        <f t="shared" si="1"/>
        <v>15438000</v>
      </c>
      <c r="AF6" s="35">
        <f t="shared" ref="AF6" si="2">SUM(AF9,AF28,AF29,AF30,AF31,AF32,AF33)</f>
        <v>16070000</v>
      </c>
      <c r="AG6" s="35">
        <f>SUM(AG9,AG28,AG29,AG30,AG31,AG32,AG33,AG47)</f>
        <v>231560</v>
      </c>
      <c r="AH6" s="35">
        <f>SUM(AH9,AH28,AH29,AH30,AH31,AH32,AH33,AH47)</f>
        <v>14435000</v>
      </c>
      <c r="AI6" s="36">
        <f>AH6/AF6*1-1</f>
        <v>-0.10174237710018663</v>
      </c>
      <c r="AJ6" s="35">
        <f>AH6-AF6</f>
        <v>-1635000</v>
      </c>
      <c r="AK6" s="35">
        <f>SUM(AK9,AK28,AK29,AK30,AK31,AK32,AK33)</f>
        <v>13060070</v>
      </c>
      <c r="AL6" s="35">
        <f t="shared" ref="AL6:AM6" si="3">SUM(AL9,AL28,AL29,AL30,AL31,AL32,AL33)</f>
        <v>2176930</v>
      </c>
      <c r="AM6" s="35">
        <f t="shared" si="3"/>
        <v>0</v>
      </c>
      <c r="AN6" s="35">
        <f>SUM(AN9,AN28,AN29,AN30,AN31,AN32,AN33)</f>
        <v>0</v>
      </c>
      <c r="AO6" s="35">
        <f>SUM(AO9,AO28,AO29,AO30,AO31,AO32,AO33)</f>
        <v>0</v>
      </c>
      <c r="AP6" s="35">
        <f>SUM(AP9,AP28,AP29,AP30,AP31,AP32,AP33)</f>
        <v>0</v>
      </c>
      <c r="AQ6" s="35">
        <f>SUM(AQ9,AQ28,AQ29,AQ30,AQ31,AQ32,AQ33)</f>
        <v>0</v>
      </c>
    </row>
    <row r="7" spans="1:43" ht="24" customHeight="1" x14ac:dyDescent="0.35">
      <c r="A7" s="338" t="s">
        <v>1</v>
      </c>
      <c r="B7" s="338"/>
      <c r="C7" s="338"/>
      <c r="D7" s="338"/>
      <c r="E7" s="338"/>
      <c r="F7" s="338"/>
      <c r="G7" s="338"/>
      <c r="H7" s="8">
        <v>67.78</v>
      </c>
      <c r="I7" s="8"/>
      <c r="J7" s="8">
        <v>72.8</v>
      </c>
      <c r="K7" s="8"/>
      <c r="L7" s="8">
        <v>75.489999999999995</v>
      </c>
      <c r="M7" s="8"/>
      <c r="N7" s="8">
        <v>78.17</v>
      </c>
      <c r="O7" s="3"/>
      <c r="P7" s="3"/>
      <c r="Q7" s="3"/>
      <c r="R7" s="8">
        <v>78.17</v>
      </c>
      <c r="S7" s="138" t="s">
        <v>237</v>
      </c>
      <c r="T7" s="3"/>
      <c r="U7" s="3"/>
      <c r="V7" s="8">
        <v>78.17</v>
      </c>
      <c r="W7" s="8">
        <v>78.17</v>
      </c>
      <c r="Y7" s="8" t="s">
        <v>88</v>
      </c>
      <c r="Z7" s="8"/>
      <c r="AA7" s="8"/>
      <c r="AB7" s="8"/>
      <c r="AC7" s="8"/>
      <c r="AD7" s="97" t="s">
        <v>154</v>
      </c>
      <c r="AE7" s="163" t="s">
        <v>238</v>
      </c>
      <c r="AF7" s="164" t="s">
        <v>212</v>
      </c>
      <c r="AG7" s="164"/>
      <c r="AH7" s="164" t="s">
        <v>235</v>
      </c>
      <c r="AI7" s="165"/>
      <c r="AJ7" s="165"/>
      <c r="AK7" s="8"/>
      <c r="AL7" s="8"/>
      <c r="AM7" s="8"/>
      <c r="AN7" s="8"/>
      <c r="AO7" s="8"/>
      <c r="AP7" s="8"/>
      <c r="AQ7" s="8"/>
    </row>
    <row r="8" spans="1:43" x14ac:dyDescent="0.35">
      <c r="A8" s="117"/>
      <c r="B8" s="117"/>
      <c r="C8" s="117"/>
      <c r="D8" s="117"/>
      <c r="E8" s="117"/>
      <c r="F8" s="117"/>
      <c r="G8" s="117" t="s">
        <v>158</v>
      </c>
      <c r="H8" s="8"/>
      <c r="I8" s="8"/>
      <c r="J8" s="8"/>
      <c r="K8" s="8"/>
      <c r="L8" s="8"/>
      <c r="M8" s="8"/>
      <c r="N8" s="8">
        <v>0.99099999999999999</v>
      </c>
      <c r="O8" s="3"/>
      <c r="P8" s="3"/>
      <c r="Q8" s="3"/>
      <c r="R8" s="8"/>
      <c r="S8" s="97">
        <v>0.99099999999999999</v>
      </c>
      <c r="T8" s="3"/>
      <c r="U8" s="3"/>
      <c r="V8" s="8"/>
      <c r="W8" s="8"/>
      <c r="Y8" s="8"/>
      <c r="Z8" s="8"/>
      <c r="AA8" s="8"/>
      <c r="AB8" s="8"/>
      <c r="AC8" s="8"/>
      <c r="AD8" s="8">
        <v>0.98799999999999999</v>
      </c>
      <c r="AE8" s="97">
        <v>0.99299999999999999</v>
      </c>
      <c r="AF8" s="97">
        <v>0.92149999999999999</v>
      </c>
      <c r="AG8" s="97"/>
      <c r="AH8" s="97">
        <v>0.87090000000000001</v>
      </c>
      <c r="AI8" s="3"/>
      <c r="AJ8" s="3"/>
      <c r="AK8" s="8"/>
      <c r="AL8" s="8"/>
      <c r="AM8" s="8"/>
      <c r="AN8" s="8"/>
      <c r="AO8" s="8"/>
      <c r="AP8" s="8"/>
      <c r="AQ8" s="8"/>
    </row>
    <row r="9" spans="1:43" ht="30" customHeight="1" x14ac:dyDescent="0.35">
      <c r="A9" s="8" t="s">
        <v>5</v>
      </c>
      <c r="B9" s="8"/>
      <c r="C9" s="8"/>
      <c r="D9" s="8"/>
      <c r="E9" s="8"/>
      <c r="F9" s="8"/>
      <c r="G9" s="10" t="s">
        <v>90</v>
      </c>
      <c r="H9" s="9">
        <f>SUM(H10:H13)</f>
        <v>7423830</v>
      </c>
      <c r="I9" s="9"/>
      <c r="J9" s="9">
        <f t="shared" ref="J9:S9" si="4">SUM(J10:J13)</f>
        <v>8927221</v>
      </c>
      <c r="K9" s="9">
        <f t="shared" si="4"/>
        <v>8739083.7699999996</v>
      </c>
      <c r="L9" s="9">
        <f t="shared" si="4"/>
        <v>9054000</v>
      </c>
      <c r="M9" s="9">
        <f t="shared" si="4"/>
        <v>9016298.6799999997</v>
      </c>
      <c r="N9" s="9">
        <f t="shared" si="4"/>
        <v>8833000</v>
      </c>
      <c r="O9" s="9">
        <f t="shared" si="4"/>
        <v>9.8956472247655469E-2</v>
      </c>
      <c r="P9" s="9">
        <f t="shared" si="4"/>
        <v>-221000</v>
      </c>
      <c r="Q9" s="9">
        <f t="shared" si="4"/>
        <v>0</v>
      </c>
      <c r="R9" s="9">
        <f t="shared" si="4"/>
        <v>8833000</v>
      </c>
      <c r="S9" s="9">
        <f t="shared" si="4"/>
        <v>14916000</v>
      </c>
      <c r="T9" s="11">
        <f>S9/N9*1-1</f>
        <v>0.68866749688667506</v>
      </c>
      <c r="U9" s="9">
        <f>S9-N9</f>
        <v>6083000</v>
      </c>
      <c r="V9" s="8"/>
      <c r="W9" s="8"/>
      <c r="Y9" s="9">
        <f t="shared" ref="Y9:AE9" si="5">SUM(Y10:Y13)</f>
        <v>14916000</v>
      </c>
      <c r="Z9" s="9">
        <f t="shared" si="5"/>
        <v>0</v>
      </c>
      <c r="AA9" s="9">
        <f t="shared" si="5"/>
        <v>0</v>
      </c>
      <c r="AB9" s="9">
        <f t="shared" si="5"/>
        <v>0</v>
      </c>
      <c r="AC9" s="9">
        <f t="shared" si="5"/>
        <v>0</v>
      </c>
      <c r="AD9" s="9">
        <f t="shared" si="5"/>
        <v>15153000</v>
      </c>
      <c r="AE9" s="9">
        <f t="shared" si="5"/>
        <v>15270000</v>
      </c>
      <c r="AF9" s="9">
        <f>SUM(AF10,AF11,AF13,AF27)</f>
        <v>15814000</v>
      </c>
      <c r="AG9" s="9">
        <f>SUM(AG10,AG11,AG13,AG27)</f>
        <v>0</v>
      </c>
      <c r="AH9" s="9">
        <f>SUM(AH12,AH10,AH11,AH13,AH27)</f>
        <v>14209000</v>
      </c>
      <c r="AI9" s="11">
        <f>AH9/AF9*1-1</f>
        <v>-0.10149234855191602</v>
      </c>
      <c r="AJ9" s="9">
        <f>AH9-AF9</f>
        <v>-1605000</v>
      </c>
      <c r="AK9" s="9">
        <f>SUM(AK10,AK11,AK13,AK27)</f>
        <v>12834070</v>
      </c>
      <c r="AL9" s="9">
        <f>SUM(AL10,AL11,AL13,AL27)</f>
        <v>2176930</v>
      </c>
      <c r="AM9" s="9"/>
      <c r="AN9" s="9">
        <f>SUM(AN10:AN13)</f>
        <v>0</v>
      </c>
      <c r="AO9" s="9">
        <f>SUM(AO10:AO13)</f>
        <v>0</v>
      </c>
      <c r="AP9" s="9">
        <f>SUM(AP10:AP13)</f>
        <v>0</v>
      </c>
      <c r="AQ9" s="9">
        <f>SUM(AQ10:AQ13)</f>
        <v>0</v>
      </c>
    </row>
    <row r="10" spans="1:43" ht="30" customHeight="1" x14ac:dyDescent="0.35">
      <c r="A10" s="8"/>
      <c r="B10" s="8"/>
      <c r="C10" s="8"/>
      <c r="D10" s="8"/>
      <c r="E10" s="8"/>
      <c r="F10" s="8"/>
      <c r="G10" s="159" t="s">
        <v>91</v>
      </c>
      <c r="H10" s="160">
        <v>6738879</v>
      </c>
      <c r="I10" s="160"/>
      <c r="J10" s="160">
        <v>8101251</v>
      </c>
      <c r="K10" s="160">
        <v>7826949.3700000001</v>
      </c>
      <c r="L10" s="160">
        <v>8050000</v>
      </c>
      <c r="M10" s="160">
        <v>7946231.2400000002</v>
      </c>
      <c r="N10" s="160">
        <v>7684000</v>
      </c>
      <c r="O10" s="161">
        <f>N10/L10*1-1</f>
        <v>-4.5465838509316736E-2</v>
      </c>
      <c r="P10" s="160">
        <f>N10-L10</f>
        <v>-366000</v>
      </c>
      <c r="Q10" s="160"/>
      <c r="R10" s="160">
        <v>7684000</v>
      </c>
      <c r="S10" s="160">
        <v>11037000</v>
      </c>
      <c r="T10" s="161">
        <f>S10/N10*1-1</f>
        <v>0.43636127017178561</v>
      </c>
      <c r="U10" s="160">
        <f>S10-N10</f>
        <v>3353000</v>
      </c>
      <c r="V10" s="160"/>
      <c r="W10" s="160"/>
      <c r="X10" s="110"/>
      <c r="Y10" s="160">
        <v>11037000</v>
      </c>
      <c r="Z10" s="160"/>
      <c r="AA10" s="160"/>
      <c r="AB10" s="160"/>
      <c r="AC10" s="160"/>
      <c r="AD10" s="160">
        <v>9826000</v>
      </c>
      <c r="AE10" s="160">
        <v>9833000</v>
      </c>
      <c r="AF10" s="162">
        <v>10007000</v>
      </c>
      <c r="AG10" s="162"/>
      <c r="AH10" s="162">
        <v>8890000</v>
      </c>
      <c r="AI10" s="161">
        <f>AH10/AF10*1-1</f>
        <v>-0.11162186469471369</v>
      </c>
      <c r="AJ10" s="160">
        <f>AH10-AF10</f>
        <v>-1117000</v>
      </c>
      <c r="AK10" s="8">
        <f>AF10-AL10</f>
        <v>7830070</v>
      </c>
      <c r="AL10" s="8">
        <v>2176930</v>
      </c>
      <c r="AM10" s="8"/>
      <c r="AN10" s="8"/>
      <c r="AO10" s="8"/>
      <c r="AP10" s="8"/>
      <c r="AQ10" s="8"/>
    </row>
    <row r="11" spans="1:43" ht="27.75" customHeight="1" x14ac:dyDescent="0.35">
      <c r="A11" s="8"/>
      <c r="B11" s="8"/>
      <c r="C11" s="8"/>
      <c r="D11" s="8"/>
      <c r="E11" s="8"/>
      <c r="F11" s="8"/>
      <c r="G11" s="28" t="s">
        <v>127</v>
      </c>
      <c r="H11" s="8">
        <v>684951</v>
      </c>
      <c r="I11" s="8"/>
      <c r="J11" s="8">
        <v>825970</v>
      </c>
      <c r="K11" s="8">
        <v>902776.4</v>
      </c>
      <c r="L11" s="8">
        <v>1004000</v>
      </c>
      <c r="M11" s="8">
        <v>1070067.44</v>
      </c>
      <c r="N11" s="8">
        <v>1149000</v>
      </c>
      <c r="O11" s="37">
        <f>N11/L11*1-1</f>
        <v>0.14442231075697221</v>
      </c>
      <c r="P11" s="8">
        <f>N11-L11</f>
        <v>145000</v>
      </c>
      <c r="Q11" s="8"/>
      <c r="R11" s="65">
        <v>1149000</v>
      </c>
      <c r="S11" s="8">
        <v>966000</v>
      </c>
      <c r="T11" s="37">
        <f>S11/N11*1-1</f>
        <v>-0.15926892950391647</v>
      </c>
      <c r="U11" s="8">
        <f>S11-N11</f>
        <v>-183000</v>
      </c>
      <c r="V11" s="8"/>
      <c r="W11" s="8"/>
      <c r="Y11" s="8">
        <v>966000</v>
      </c>
      <c r="Z11" s="8"/>
      <c r="AA11" s="8"/>
      <c r="AB11" s="8"/>
      <c r="AC11" s="8"/>
      <c r="AD11" s="65">
        <v>1039000</v>
      </c>
      <c r="AE11" s="8">
        <v>1039000</v>
      </c>
      <c r="AF11" s="141">
        <v>892000</v>
      </c>
      <c r="AG11" s="141"/>
      <c r="AH11" s="141">
        <v>727000</v>
      </c>
      <c r="AI11" s="37">
        <f>AH11/AF11*1-1</f>
        <v>-0.18497757847533636</v>
      </c>
      <c r="AJ11" s="8">
        <f>AH11-AF11</f>
        <v>-165000</v>
      </c>
      <c r="AK11" s="8">
        <f>SUM(AF11)</f>
        <v>892000</v>
      </c>
      <c r="AL11" s="8"/>
      <c r="AM11" s="8"/>
      <c r="AN11" s="8"/>
      <c r="AO11" s="8"/>
      <c r="AP11" s="8"/>
      <c r="AQ11" s="8"/>
    </row>
    <row r="12" spans="1:43" ht="27.75" customHeight="1" x14ac:dyDescent="0.35">
      <c r="A12" s="8"/>
      <c r="B12" s="8"/>
      <c r="C12" s="8"/>
      <c r="D12" s="8"/>
      <c r="E12" s="8"/>
      <c r="F12" s="8"/>
      <c r="G12" s="28" t="s">
        <v>92</v>
      </c>
      <c r="H12" s="8"/>
      <c r="I12" s="8"/>
      <c r="J12" s="8"/>
      <c r="K12" s="8">
        <v>9358</v>
      </c>
      <c r="L12" s="8"/>
      <c r="M12" s="8"/>
      <c r="N12" s="8"/>
      <c r="O12" s="37"/>
      <c r="P12" s="8"/>
      <c r="Q12" s="8"/>
      <c r="R12" s="65"/>
      <c r="S12" s="8"/>
      <c r="T12" s="37"/>
      <c r="U12" s="8"/>
      <c r="V12" s="8"/>
      <c r="W12" s="8"/>
      <c r="Y12" s="8"/>
      <c r="Z12" s="8"/>
      <c r="AA12" s="8"/>
      <c r="AB12" s="8"/>
      <c r="AC12" s="8"/>
      <c r="AD12" s="65"/>
      <c r="AE12" s="8"/>
      <c r="AF12" s="8"/>
      <c r="AG12" s="8"/>
      <c r="AH12" s="8">
        <v>480000</v>
      </c>
      <c r="AI12" s="37"/>
      <c r="AJ12" s="8">
        <f>AH12-AF12</f>
        <v>480000</v>
      </c>
      <c r="AK12" s="8">
        <f>SUM(AF12)</f>
        <v>0</v>
      </c>
      <c r="AL12" s="8"/>
      <c r="AM12" s="8"/>
      <c r="AN12" s="8"/>
      <c r="AO12" s="8"/>
      <c r="AP12" s="8"/>
      <c r="AQ12" s="8"/>
    </row>
    <row r="13" spans="1:43" ht="30" customHeight="1" x14ac:dyDescent="0.35">
      <c r="A13" s="8"/>
      <c r="B13" s="8"/>
      <c r="C13" s="8"/>
      <c r="D13" s="8"/>
      <c r="E13" s="8"/>
      <c r="F13" s="8"/>
      <c r="G13" s="71" t="s">
        <v>220</v>
      </c>
      <c r="H13" s="60"/>
      <c r="I13" s="60"/>
      <c r="J13" s="60"/>
      <c r="K13" s="60"/>
      <c r="L13" s="60"/>
      <c r="M13" s="60"/>
      <c r="N13" s="60"/>
      <c r="O13" s="61"/>
      <c r="P13" s="60"/>
      <c r="Q13" s="60"/>
      <c r="R13" s="72"/>
      <c r="S13" s="60">
        <f>SUM(S14:S26)</f>
        <v>2913000</v>
      </c>
      <c r="T13" s="61"/>
      <c r="U13" s="60"/>
      <c r="V13" s="8"/>
      <c r="W13" s="8"/>
      <c r="Y13" s="60">
        <f t="shared" ref="Y13:AE13" si="6">SUM(Y14:Y26)</f>
        <v>2913000</v>
      </c>
      <c r="Z13" s="60">
        <f t="shared" si="6"/>
        <v>0</v>
      </c>
      <c r="AA13" s="60">
        <f t="shared" si="6"/>
        <v>0</v>
      </c>
      <c r="AB13" s="60">
        <f t="shared" si="6"/>
        <v>0</v>
      </c>
      <c r="AC13" s="60">
        <f t="shared" si="6"/>
        <v>0</v>
      </c>
      <c r="AD13" s="60">
        <f t="shared" si="6"/>
        <v>4288000</v>
      </c>
      <c r="AE13" s="60">
        <f t="shared" si="6"/>
        <v>4398000</v>
      </c>
      <c r="AF13" s="60">
        <f t="shared" ref="AF13:AH13" si="7">SUM(AF14:AF26)</f>
        <v>4800000</v>
      </c>
      <c r="AG13" s="60"/>
      <c r="AH13" s="60">
        <f t="shared" si="7"/>
        <v>4112000</v>
      </c>
      <c r="AI13" s="83">
        <f>AH13/AF13*1-1</f>
        <v>-0.14333333333333331</v>
      </c>
      <c r="AJ13" s="82">
        <f>AH13-AF13</f>
        <v>-688000</v>
      </c>
      <c r="AK13" s="60">
        <f>SUM(AK14:AK26)</f>
        <v>4112000</v>
      </c>
      <c r="AL13" s="60"/>
      <c r="AM13" s="60"/>
      <c r="AN13" s="60">
        <f>SUM(AN14:AN26)</f>
        <v>0</v>
      </c>
      <c r="AO13" s="60">
        <f>SUM(AO14:AO26)</f>
        <v>0</v>
      </c>
      <c r="AP13" s="60">
        <f>SUM(AP14:AP26)</f>
        <v>0</v>
      </c>
      <c r="AQ13" s="60">
        <f>SUM(AQ14:AQ26)</f>
        <v>0</v>
      </c>
    </row>
    <row r="14" spans="1:43" ht="15.65" customHeight="1" x14ac:dyDescent="0.35">
      <c r="A14" s="8"/>
      <c r="B14" s="8"/>
      <c r="C14" s="8"/>
      <c r="D14" s="8"/>
      <c r="E14" s="8"/>
      <c r="F14" s="8"/>
      <c r="G14" s="73" t="s">
        <v>89</v>
      </c>
      <c r="H14" s="74"/>
      <c r="I14" s="74"/>
      <c r="J14" s="74"/>
      <c r="K14" s="74"/>
      <c r="L14" s="74"/>
      <c r="M14" s="74"/>
      <c r="N14" s="74"/>
      <c r="O14" s="75"/>
      <c r="P14" s="74"/>
      <c r="Q14" s="74"/>
      <c r="R14" s="76"/>
      <c r="S14" s="63">
        <v>2437000</v>
      </c>
      <c r="T14" s="75"/>
      <c r="U14" s="74"/>
      <c r="V14" s="8"/>
      <c r="W14" s="8"/>
      <c r="Y14" s="63">
        <v>2437000</v>
      </c>
      <c r="Z14" s="63"/>
      <c r="AA14" s="63"/>
      <c r="AB14" s="63"/>
      <c r="AC14" s="63"/>
      <c r="AD14" s="76"/>
      <c r="AE14" s="63"/>
      <c r="AF14" s="63"/>
      <c r="AG14" s="63"/>
      <c r="AH14" s="63"/>
      <c r="AI14" s="75"/>
      <c r="AJ14" s="74"/>
      <c r="AK14" s="63"/>
      <c r="AL14" s="63"/>
      <c r="AM14" s="63"/>
      <c r="AN14" s="63"/>
      <c r="AO14" s="63"/>
      <c r="AP14" s="63"/>
      <c r="AQ14" s="63"/>
    </row>
    <row r="15" spans="1:43" ht="15.65" customHeight="1" x14ac:dyDescent="0.35">
      <c r="A15" s="8"/>
      <c r="B15" s="8"/>
      <c r="C15" s="8"/>
      <c r="D15" s="8"/>
      <c r="E15" s="8"/>
      <c r="F15" s="8"/>
      <c r="G15" s="73" t="s">
        <v>156</v>
      </c>
      <c r="H15" s="74"/>
      <c r="I15" s="74"/>
      <c r="J15" s="74"/>
      <c r="K15" s="74"/>
      <c r="L15" s="74"/>
      <c r="M15" s="74"/>
      <c r="N15" s="74"/>
      <c r="O15" s="75"/>
      <c r="P15" s="74"/>
      <c r="Q15" s="74"/>
      <c r="R15" s="76"/>
      <c r="S15" s="63"/>
      <c r="T15" s="75"/>
      <c r="U15" s="74"/>
      <c r="V15" s="8"/>
      <c r="W15" s="8"/>
      <c r="Y15" s="63"/>
      <c r="Z15" s="63"/>
      <c r="AA15" s="63"/>
      <c r="AB15" s="63"/>
      <c r="AC15" s="63"/>
      <c r="AD15" s="76">
        <v>1027000</v>
      </c>
      <c r="AE15" s="63">
        <v>1134000</v>
      </c>
      <c r="AF15" s="63">
        <v>1019000</v>
      </c>
      <c r="AG15" s="63"/>
      <c r="AH15" s="63"/>
      <c r="AI15" s="75"/>
      <c r="AJ15" s="74"/>
      <c r="AK15" s="74">
        <f>SUM(AH15)</f>
        <v>0</v>
      </c>
      <c r="AL15" s="63"/>
      <c r="AM15" s="63"/>
      <c r="AN15" s="63"/>
      <c r="AO15" s="63"/>
      <c r="AP15" s="63"/>
      <c r="AQ15" s="63"/>
    </row>
    <row r="16" spans="1:43" ht="33" customHeight="1" x14ac:dyDescent="0.35">
      <c r="A16" s="8"/>
      <c r="B16" s="8"/>
      <c r="C16" s="8"/>
      <c r="D16" s="8"/>
      <c r="E16" s="8"/>
      <c r="F16" s="8"/>
      <c r="G16" s="77" t="s">
        <v>222</v>
      </c>
      <c r="H16" s="74"/>
      <c r="I16" s="74"/>
      <c r="J16" s="74"/>
      <c r="K16" s="74"/>
      <c r="L16" s="74"/>
      <c r="M16" s="74"/>
      <c r="N16" s="74"/>
      <c r="O16" s="75"/>
      <c r="P16" s="74"/>
      <c r="Q16" s="74"/>
      <c r="R16" s="76"/>
      <c r="S16" s="63">
        <v>29000</v>
      </c>
      <c r="T16" s="75"/>
      <c r="U16" s="74"/>
      <c r="V16" s="8"/>
      <c r="W16" s="8"/>
      <c r="Y16" s="63">
        <v>29000</v>
      </c>
      <c r="Z16" s="63"/>
      <c r="AA16" s="63"/>
      <c r="AB16" s="63"/>
      <c r="AC16" s="63"/>
      <c r="AD16" s="76"/>
      <c r="AE16" s="63"/>
      <c r="AF16" s="63"/>
      <c r="AG16" s="63"/>
      <c r="AH16" s="63"/>
      <c r="AI16" s="75"/>
      <c r="AJ16" s="74"/>
      <c r="AK16" s="74">
        <f t="shared" ref="AK16:AK27" si="8">SUM(AH16)</f>
        <v>0</v>
      </c>
      <c r="AL16" s="63"/>
      <c r="AM16" s="63"/>
      <c r="AN16" s="63"/>
      <c r="AO16" s="63"/>
      <c r="AP16" s="63"/>
      <c r="AQ16" s="63"/>
    </row>
    <row r="17" spans="1:43" ht="23.5" customHeight="1" x14ac:dyDescent="0.35">
      <c r="A17" s="8"/>
      <c r="B17" s="8"/>
      <c r="C17" s="8"/>
      <c r="D17" s="8"/>
      <c r="E17" s="8"/>
      <c r="F17" s="8"/>
      <c r="G17" s="78" t="s">
        <v>155</v>
      </c>
      <c r="H17" s="74"/>
      <c r="I17" s="74"/>
      <c r="J17" s="74"/>
      <c r="K17" s="74"/>
      <c r="L17" s="74"/>
      <c r="M17" s="74"/>
      <c r="N17" s="74"/>
      <c r="O17" s="75"/>
      <c r="P17" s="74"/>
      <c r="Q17" s="74"/>
      <c r="R17" s="76"/>
      <c r="S17" s="63"/>
      <c r="T17" s="75"/>
      <c r="U17" s="74"/>
      <c r="V17" s="8"/>
      <c r="W17" s="8"/>
      <c r="Y17" s="63"/>
      <c r="Z17" s="63"/>
      <c r="AA17" s="63"/>
      <c r="AB17" s="63"/>
      <c r="AC17" s="63"/>
      <c r="AD17" s="76">
        <v>-13000</v>
      </c>
      <c r="AE17" s="63">
        <v>-13000</v>
      </c>
      <c r="AF17" s="63"/>
      <c r="AG17" s="63"/>
      <c r="AH17" s="63"/>
      <c r="AI17" s="75"/>
      <c r="AJ17" s="74"/>
      <c r="AK17" s="74">
        <f t="shared" si="8"/>
        <v>0</v>
      </c>
      <c r="AL17" s="63"/>
      <c r="AM17" s="63"/>
      <c r="AN17" s="63"/>
      <c r="AO17" s="63"/>
      <c r="AP17" s="63"/>
      <c r="AQ17" s="63"/>
    </row>
    <row r="18" spans="1:43" ht="27.75" customHeight="1" x14ac:dyDescent="0.35">
      <c r="A18" s="8"/>
      <c r="B18" s="8"/>
      <c r="C18" s="8"/>
      <c r="D18" s="8"/>
      <c r="E18" s="8"/>
      <c r="F18" s="8"/>
      <c r="G18" s="139" t="s">
        <v>83</v>
      </c>
      <c r="H18" s="74"/>
      <c r="I18" s="74"/>
      <c r="J18" s="74"/>
      <c r="K18" s="74"/>
      <c r="L18" s="74"/>
      <c r="M18" s="74"/>
      <c r="N18" s="74"/>
      <c r="O18" s="75"/>
      <c r="P18" s="74"/>
      <c r="Q18" s="74"/>
      <c r="R18" s="76"/>
      <c r="S18" s="63">
        <v>220000</v>
      </c>
      <c r="T18" s="75"/>
      <c r="U18" s="74"/>
      <c r="V18" s="8"/>
      <c r="W18" s="8"/>
      <c r="Y18" s="63">
        <v>220000</v>
      </c>
      <c r="Z18" s="63"/>
      <c r="AA18" s="63"/>
      <c r="AB18" s="63"/>
      <c r="AC18" s="63"/>
      <c r="AD18" s="76">
        <v>109000</v>
      </c>
      <c r="AE18" s="63">
        <v>109000</v>
      </c>
      <c r="AF18" s="135">
        <v>109000</v>
      </c>
      <c r="AG18" s="135"/>
      <c r="AH18" s="157">
        <v>109000</v>
      </c>
      <c r="AI18" s="75"/>
      <c r="AJ18" s="74"/>
      <c r="AK18" s="74">
        <f t="shared" si="8"/>
        <v>109000</v>
      </c>
      <c r="AL18" s="63"/>
      <c r="AM18" s="63"/>
      <c r="AN18" s="63"/>
      <c r="AO18" s="63"/>
      <c r="AP18" s="63"/>
      <c r="AQ18" s="63"/>
    </row>
    <row r="19" spans="1:43" ht="18" customHeight="1" x14ac:dyDescent="0.35">
      <c r="A19" s="8"/>
      <c r="B19" s="8"/>
      <c r="C19" s="8"/>
      <c r="D19" s="8"/>
      <c r="E19" s="8"/>
      <c r="F19" s="8"/>
      <c r="G19" s="139" t="s">
        <v>84</v>
      </c>
      <c r="H19" s="74"/>
      <c r="I19" s="74"/>
      <c r="J19" s="74"/>
      <c r="K19" s="74"/>
      <c r="L19" s="74"/>
      <c r="M19" s="74"/>
      <c r="N19" s="74"/>
      <c r="O19" s="75"/>
      <c r="P19" s="74"/>
      <c r="Q19" s="74"/>
      <c r="R19" s="76"/>
      <c r="S19" s="63">
        <v>141000</v>
      </c>
      <c r="T19" s="75"/>
      <c r="U19" s="74"/>
      <c r="V19" s="8"/>
      <c r="W19" s="8"/>
      <c r="Y19" s="63">
        <v>141000</v>
      </c>
      <c r="Z19" s="63"/>
      <c r="AA19" s="63"/>
      <c r="AB19" s="63"/>
      <c r="AC19" s="63"/>
      <c r="AD19" s="76">
        <v>145000</v>
      </c>
      <c r="AE19" s="63">
        <v>145000</v>
      </c>
      <c r="AF19" s="135">
        <v>186000</v>
      </c>
      <c r="AG19" s="135"/>
      <c r="AH19" s="157">
        <v>122000</v>
      </c>
      <c r="AI19" s="75"/>
      <c r="AJ19" s="74"/>
      <c r="AK19" s="74">
        <f t="shared" si="8"/>
        <v>122000</v>
      </c>
      <c r="AL19" s="63"/>
      <c r="AM19" s="63"/>
      <c r="AN19" s="63"/>
      <c r="AO19" s="63"/>
      <c r="AP19" s="63"/>
      <c r="AQ19" s="63"/>
    </row>
    <row r="20" spans="1:43" ht="17.149999999999999" customHeight="1" x14ac:dyDescent="0.35">
      <c r="A20" s="8"/>
      <c r="B20" s="8"/>
      <c r="C20" s="8"/>
      <c r="D20" s="8"/>
      <c r="E20" s="8"/>
      <c r="F20" s="8"/>
      <c r="G20" s="139" t="s">
        <v>128</v>
      </c>
      <c r="H20" s="74"/>
      <c r="I20" s="74"/>
      <c r="J20" s="74"/>
      <c r="K20" s="74"/>
      <c r="L20" s="74"/>
      <c r="M20" s="74"/>
      <c r="N20" s="74"/>
      <c r="O20" s="75"/>
      <c r="P20" s="74"/>
      <c r="Q20" s="74"/>
      <c r="R20" s="76"/>
      <c r="S20" s="63">
        <v>86000</v>
      </c>
      <c r="T20" s="75"/>
      <c r="U20" s="74"/>
      <c r="V20" s="8"/>
      <c r="W20" s="8"/>
      <c r="Y20" s="63">
        <v>86000</v>
      </c>
      <c r="Z20" s="63"/>
      <c r="AA20" s="63"/>
      <c r="AB20" s="63"/>
      <c r="AC20" s="63"/>
      <c r="AD20" s="76">
        <v>91000</v>
      </c>
      <c r="AE20" s="63">
        <v>91000</v>
      </c>
      <c r="AF20" s="134">
        <v>121000</v>
      </c>
      <c r="AG20" s="134"/>
      <c r="AH20" s="158">
        <v>44000</v>
      </c>
      <c r="AI20" s="75"/>
      <c r="AJ20" s="74"/>
      <c r="AK20" s="74">
        <f t="shared" si="8"/>
        <v>44000</v>
      </c>
      <c r="AL20" s="63"/>
      <c r="AM20" s="63"/>
      <c r="AN20" s="63"/>
      <c r="AO20" s="63"/>
      <c r="AP20" s="63"/>
      <c r="AQ20" s="63"/>
    </row>
    <row r="21" spans="1:43" ht="17.149999999999999" customHeight="1" x14ac:dyDescent="0.35">
      <c r="A21" s="8"/>
      <c r="B21" s="8"/>
      <c r="C21" s="8"/>
      <c r="D21" s="8"/>
      <c r="E21" s="8"/>
      <c r="F21" s="8"/>
      <c r="G21" s="139" t="s">
        <v>157</v>
      </c>
      <c r="H21" s="74"/>
      <c r="I21" s="74"/>
      <c r="J21" s="74"/>
      <c r="K21" s="74"/>
      <c r="L21" s="74"/>
      <c r="M21" s="74"/>
      <c r="N21" s="74"/>
      <c r="O21" s="75"/>
      <c r="P21" s="74"/>
      <c r="Q21" s="74"/>
      <c r="R21" s="76"/>
      <c r="S21" s="63"/>
      <c r="T21" s="75"/>
      <c r="U21" s="74"/>
      <c r="V21" s="8"/>
      <c r="W21" s="8"/>
      <c r="Y21" s="63"/>
      <c r="Z21" s="63"/>
      <c r="AA21" s="63"/>
      <c r="AB21" s="63"/>
      <c r="AC21" s="63"/>
      <c r="AD21" s="76">
        <v>16000</v>
      </c>
      <c r="AE21" s="63">
        <v>19000</v>
      </c>
      <c r="AF21" s="63">
        <v>40000</v>
      </c>
      <c r="AG21" s="63"/>
      <c r="AH21" s="63"/>
      <c r="AI21" s="75"/>
      <c r="AJ21" s="74"/>
      <c r="AK21" s="74">
        <f t="shared" si="8"/>
        <v>0</v>
      </c>
      <c r="AL21" s="63"/>
      <c r="AM21" s="63"/>
      <c r="AN21" s="63"/>
      <c r="AO21" s="63"/>
      <c r="AP21" s="63"/>
      <c r="AQ21" s="63"/>
    </row>
    <row r="22" spans="1:43" ht="76" customHeight="1" x14ac:dyDescent="0.35">
      <c r="A22" s="8"/>
      <c r="B22" s="8"/>
      <c r="C22" s="8"/>
      <c r="D22" s="8"/>
      <c r="E22" s="8"/>
      <c r="F22" s="8"/>
      <c r="G22" s="78" t="s">
        <v>221</v>
      </c>
      <c r="H22" s="74"/>
      <c r="I22" s="74"/>
      <c r="J22" s="74"/>
      <c r="K22" s="74"/>
      <c r="L22" s="74"/>
      <c r="M22" s="74"/>
      <c r="N22" s="74"/>
      <c r="O22" s="75"/>
      <c r="P22" s="74"/>
      <c r="Q22" s="74"/>
      <c r="R22" s="76"/>
      <c r="S22" s="63"/>
      <c r="T22" s="75"/>
      <c r="U22" s="74"/>
      <c r="V22" s="8"/>
      <c r="W22" s="8"/>
      <c r="Y22" s="63"/>
      <c r="Z22" s="63"/>
      <c r="AA22" s="63"/>
      <c r="AB22" s="63"/>
      <c r="AC22" s="63"/>
      <c r="AD22" s="76"/>
      <c r="AE22" s="63"/>
      <c r="AF22" s="63">
        <v>-6000</v>
      </c>
      <c r="AG22" s="63"/>
      <c r="AH22" s="63"/>
      <c r="AI22" s="75"/>
      <c r="AJ22" s="74"/>
      <c r="AK22" s="74">
        <f t="shared" si="8"/>
        <v>0</v>
      </c>
      <c r="AL22" s="63"/>
      <c r="AM22" s="63"/>
      <c r="AN22" s="63"/>
      <c r="AO22" s="63"/>
      <c r="AP22" s="63"/>
      <c r="AQ22" s="63"/>
    </row>
    <row r="23" spans="1:43" ht="27" customHeight="1" x14ac:dyDescent="0.35">
      <c r="A23" s="8"/>
      <c r="B23" s="8"/>
      <c r="C23" s="8"/>
      <c r="D23" s="8"/>
      <c r="E23" s="8"/>
      <c r="F23" s="8"/>
      <c r="G23" s="78" t="s">
        <v>233</v>
      </c>
      <c r="H23" s="74"/>
      <c r="I23" s="74"/>
      <c r="J23" s="74"/>
      <c r="K23" s="74"/>
      <c r="L23" s="74"/>
      <c r="M23" s="74"/>
      <c r="N23" s="74"/>
      <c r="O23" s="75"/>
      <c r="P23" s="74"/>
      <c r="Q23" s="74"/>
      <c r="R23" s="76"/>
      <c r="S23" s="63"/>
      <c r="T23" s="75"/>
      <c r="U23" s="74"/>
      <c r="V23" s="8"/>
      <c r="W23" s="8"/>
      <c r="Y23" s="63"/>
      <c r="Z23" s="63"/>
      <c r="AA23" s="63"/>
      <c r="AB23" s="63"/>
      <c r="AC23" s="63"/>
      <c r="AD23" s="76"/>
      <c r="AE23" s="63"/>
      <c r="AF23" s="63"/>
      <c r="AG23" s="63"/>
      <c r="AH23" s="156">
        <v>79000</v>
      </c>
      <c r="AI23" s="75"/>
      <c r="AJ23" s="74"/>
      <c r="AK23" s="74">
        <f t="shared" si="8"/>
        <v>79000</v>
      </c>
      <c r="AL23" s="63"/>
      <c r="AM23" s="63"/>
      <c r="AN23" s="63"/>
      <c r="AO23" s="63"/>
      <c r="AP23" s="63"/>
      <c r="AQ23" s="63"/>
    </row>
    <row r="24" spans="1:43" ht="27" customHeight="1" x14ac:dyDescent="0.35">
      <c r="A24" s="8"/>
      <c r="B24" s="8"/>
      <c r="C24" s="8"/>
      <c r="D24" s="8"/>
      <c r="E24" s="8"/>
      <c r="F24" s="8"/>
      <c r="G24" s="139" t="s">
        <v>234</v>
      </c>
      <c r="H24" s="74"/>
      <c r="I24" s="74"/>
      <c r="J24" s="74"/>
      <c r="K24" s="74"/>
      <c r="L24" s="74"/>
      <c r="M24" s="74"/>
      <c r="N24" s="74"/>
      <c r="O24" s="75"/>
      <c r="P24" s="74"/>
      <c r="Q24" s="74"/>
      <c r="R24" s="76"/>
      <c r="S24" s="63"/>
      <c r="T24" s="75"/>
      <c r="U24" s="74"/>
      <c r="V24" s="8"/>
      <c r="W24" s="8"/>
      <c r="Y24" s="63"/>
      <c r="Z24" s="63"/>
      <c r="AA24" s="63"/>
      <c r="AB24" s="63"/>
      <c r="AC24" s="63"/>
      <c r="AD24" s="76"/>
      <c r="AE24" s="63"/>
      <c r="AF24" s="63"/>
      <c r="AG24" s="63"/>
      <c r="AH24" s="156">
        <v>6000</v>
      </c>
      <c r="AI24" s="75"/>
      <c r="AJ24" s="74"/>
      <c r="AK24" s="74">
        <f t="shared" si="8"/>
        <v>6000</v>
      </c>
      <c r="AL24" s="63"/>
      <c r="AM24" s="63"/>
      <c r="AN24" s="63"/>
      <c r="AO24" s="63"/>
      <c r="AP24" s="63"/>
      <c r="AQ24" s="63"/>
    </row>
    <row r="25" spans="1:43" ht="20.149999999999999" customHeight="1" x14ac:dyDescent="0.35">
      <c r="A25" s="8"/>
      <c r="B25" s="8"/>
      <c r="C25" s="8"/>
      <c r="D25" s="8"/>
      <c r="E25" s="8"/>
      <c r="F25" s="8"/>
      <c r="G25" s="139" t="s">
        <v>208</v>
      </c>
      <c r="H25" s="74"/>
      <c r="I25" s="74"/>
      <c r="J25" s="74"/>
      <c r="K25" s="74"/>
      <c r="L25" s="74"/>
      <c r="M25" s="74"/>
      <c r="N25" s="74"/>
      <c r="O25" s="75"/>
      <c r="P25" s="74"/>
      <c r="Q25" s="74"/>
      <c r="R25" s="76"/>
      <c r="S25" s="63"/>
      <c r="T25" s="75"/>
      <c r="U25" s="74"/>
      <c r="V25" s="8"/>
      <c r="W25" s="8"/>
      <c r="Y25" s="63"/>
      <c r="Z25" s="63"/>
      <c r="AA25" s="63"/>
      <c r="AB25" s="63"/>
      <c r="AC25" s="63"/>
      <c r="AD25" s="76"/>
      <c r="AE25" s="63"/>
      <c r="AF25" s="63">
        <v>67000</v>
      </c>
      <c r="AG25" s="63"/>
      <c r="AH25" s="63"/>
      <c r="AI25" s="75"/>
      <c r="AJ25" s="74"/>
      <c r="AK25" s="74">
        <f t="shared" si="8"/>
        <v>0</v>
      </c>
      <c r="AL25" s="63"/>
      <c r="AM25" s="63"/>
      <c r="AN25" s="63"/>
      <c r="AO25" s="63"/>
      <c r="AP25" s="63"/>
      <c r="AQ25" s="63"/>
    </row>
    <row r="26" spans="1:43" ht="31.4" customHeight="1" x14ac:dyDescent="0.35">
      <c r="A26" s="8"/>
      <c r="B26" s="8"/>
      <c r="C26" s="8"/>
      <c r="D26" s="8"/>
      <c r="E26" s="8"/>
      <c r="F26" s="8"/>
      <c r="G26" s="78" t="s">
        <v>205</v>
      </c>
      <c r="H26" s="74"/>
      <c r="I26" s="74"/>
      <c r="J26" s="74"/>
      <c r="K26" s="74"/>
      <c r="L26" s="74"/>
      <c r="M26" s="74"/>
      <c r="N26" s="74"/>
      <c r="O26" s="75"/>
      <c r="P26" s="74"/>
      <c r="Q26" s="74"/>
      <c r="R26" s="76"/>
      <c r="S26" s="63"/>
      <c r="T26" s="75"/>
      <c r="U26" s="74"/>
      <c r="V26" s="8"/>
      <c r="W26" s="8"/>
      <c r="Y26" s="63"/>
      <c r="Z26" s="63"/>
      <c r="AA26" s="63"/>
      <c r="AB26" s="63"/>
      <c r="AC26" s="63"/>
      <c r="AD26" s="76">
        <v>2913000</v>
      </c>
      <c r="AE26" s="63">
        <v>2913000</v>
      </c>
      <c r="AF26" s="63">
        <v>3264000</v>
      </c>
      <c r="AG26" s="63"/>
      <c r="AH26" s="63">
        <f>SUM(AF18:AF26)-S16</f>
        <v>3752000</v>
      </c>
      <c r="AI26" s="75"/>
      <c r="AJ26" s="74"/>
      <c r="AK26" s="74">
        <f t="shared" si="8"/>
        <v>3752000</v>
      </c>
      <c r="AL26" s="63"/>
      <c r="AM26" s="63"/>
      <c r="AN26" s="63"/>
      <c r="AO26" s="63"/>
      <c r="AP26" s="63"/>
      <c r="AQ26" s="63"/>
    </row>
    <row r="27" spans="1:43" ht="21" customHeight="1" x14ac:dyDescent="0.35">
      <c r="A27" s="8"/>
      <c r="B27" s="8"/>
      <c r="C27" s="8"/>
      <c r="D27" s="8"/>
      <c r="E27" s="8"/>
      <c r="F27" s="8"/>
      <c r="G27" s="133" t="s">
        <v>206</v>
      </c>
      <c r="H27" s="74"/>
      <c r="I27" s="74"/>
      <c r="J27" s="74"/>
      <c r="K27" s="74"/>
      <c r="L27" s="74"/>
      <c r="M27" s="74"/>
      <c r="N27" s="74"/>
      <c r="O27" s="75"/>
      <c r="P27" s="74"/>
      <c r="Q27" s="74"/>
      <c r="R27" s="76"/>
      <c r="S27" s="63"/>
      <c r="T27" s="75"/>
      <c r="U27" s="74"/>
      <c r="V27" s="8"/>
      <c r="W27" s="8"/>
      <c r="Y27" s="63"/>
      <c r="Z27" s="63"/>
      <c r="AA27" s="63"/>
      <c r="AB27" s="63"/>
      <c r="AC27" s="63"/>
      <c r="AD27" s="76"/>
      <c r="AE27" s="63"/>
      <c r="AF27" s="74">
        <v>115000</v>
      </c>
      <c r="AG27" s="74"/>
      <c r="AH27" s="74"/>
      <c r="AI27" s="75"/>
      <c r="AJ27" s="74"/>
      <c r="AK27" s="74">
        <f t="shared" si="8"/>
        <v>0</v>
      </c>
      <c r="AL27" s="63"/>
      <c r="AM27" s="63"/>
      <c r="AN27" s="63"/>
      <c r="AO27" s="63"/>
      <c r="AP27" s="63"/>
      <c r="AQ27" s="63"/>
    </row>
    <row r="28" spans="1:43" ht="21" customHeight="1" x14ac:dyDescent="0.35">
      <c r="A28" s="8"/>
      <c r="B28" s="8"/>
      <c r="C28" s="8"/>
      <c r="D28" s="8"/>
      <c r="E28" s="8"/>
      <c r="F28" s="8"/>
      <c r="G28" s="10" t="s">
        <v>129</v>
      </c>
      <c r="H28" s="9">
        <v>55028</v>
      </c>
      <c r="I28" s="9"/>
      <c r="J28" s="9">
        <v>72115</v>
      </c>
      <c r="K28" s="9">
        <v>90506.64</v>
      </c>
      <c r="L28" s="9">
        <v>73000</v>
      </c>
      <c r="M28" s="9">
        <v>84443.07</v>
      </c>
      <c r="N28" s="9">
        <v>91000</v>
      </c>
      <c r="O28" s="11">
        <f>N28/L28*1-1</f>
        <v>0.24657534246575352</v>
      </c>
      <c r="P28" s="9">
        <f>N28-L28</f>
        <v>18000</v>
      </c>
      <c r="Q28" s="9"/>
      <c r="R28" s="9">
        <v>81900</v>
      </c>
      <c r="S28" s="9">
        <v>82000</v>
      </c>
      <c r="T28" s="11">
        <f>S28/N28*1-1</f>
        <v>-9.8901098901098883E-2</v>
      </c>
      <c r="U28" s="9">
        <f t="shared" ref="U28:U34" si="9">S28-N28</f>
        <v>-9000</v>
      </c>
      <c r="V28" s="8">
        <v>81900</v>
      </c>
      <c r="W28" s="8">
        <v>81900</v>
      </c>
      <c r="Y28" s="9">
        <v>82000</v>
      </c>
      <c r="Z28" s="9"/>
      <c r="AA28" s="9"/>
      <c r="AB28" s="9"/>
      <c r="AC28" s="9"/>
      <c r="AD28" s="9">
        <v>90000</v>
      </c>
      <c r="AE28" s="9">
        <v>90000</v>
      </c>
      <c r="AF28" s="132">
        <v>120000</v>
      </c>
      <c r="AG28" s="132">
        <v>105000</v>
      </c>
      <c r="AH28" s="132">
        <v>105000</v>
      </c>
      <c r="AI28" s="11">
        <f>AH28/AF28*1-1</f>
        <v>-0.125</v>
      </c>
      <c r="AJ28" s="9">
        <f>AH28-AF28</f>
        <v>-15000</v>
      </c>
      <c r="AK28" s="9">
        <f>SUM(AH28)</f>
        <v>105000</v>
      </c>
      <c r="AL28" s="9"/>
      <c r="AM28" s="9"/>
      <c r="AN28" s="9"/>
      <c r="AO28" s="9"/>
      <c r="AP28" s="9"/>
      <c r="AQ28" s="9"/>
    </row>
    <row r="29" spans="1:43" ht="18.75" customHeight="1" x14ac:dyDescent="0.35">
      <c r="A29" s="8"/>
      <c r="B29" s="8"/>
      <c r="C29" s="8"/>
      <c r="D29" s="8"/>
      <c r="E29" s="8"/>
      <c r="F29" s="8"/>
      <c r="G29" s="10" t="s">
        <v>93</v>
      </c>
      <c r="H29" s="9">
        <v>2317</v>
      </c>
      <c r="I29" s="9"/>
      <c r="J29" s="9">
        <v>2317</v>
      </c>
      <c r="K29" s="9">
        <v>6444.99</v>
      </c>
      <c r="L29" s="9">
        <v>2000</v>
      </c>
      <c r="M29" s="9">
        <v>7786</v>
      </c>
      <c r="N29" s="9">
        <v>6000</v>
      </c>
      <c r="O29" s="11">
        <f>N29/L29*1-1</f>
        <v>2</v>
      </c>
      <c r="P29" s="9">
        <f>N29-L29</f>
        <v>4000</v>
      </c>
      <c r="Q29" s="9"/>
      <c r="R29" s="9">
        <v>6500</v>
      </c>
      <c r="S29" s="9">
        <v>7000</v>
      </c>
      <c r="T29" s="11">
        <f>S29/N29*1-1</f>
        <v>0.16666666666666674</v>
      </c>
      <c r="U29" s="9">
        <f t="shared" si="9"/>
        <v>1000</v>
      </c>
      <c r="V29" s="8">
        <v>6500</v>
      </c>
      <c r="W29" s="8">
        <v>6500</v>
      </c>
      <c r="Y29" s="9">
        <v>7000</v>
      </c>
      <c r="Z29" s="9"/>
      <c r="AA29" s="9"/>
      <c r="AB29" s="9"/>
      <c r="AC29" s="9"/>
      <c r="AD29" s="9">
        <v>7000</v>
      </c>
      <c r="AE29" s="9">
        <v>7000</v>
      </c>
      <c r="AF29" s="132">
        <v>8000</v>
      </c>
      <c r="AG29" s="132">
        <v>11000</v>
      </c>
      <c r="AH29" s="132">
        <v>11000</v>
      </c>
      <c r="AI29" s="11">
        <f>AH29/AF29*1-1</f>
        <v>0.375</v>
      </c>
      <c r="AJ29" s="9">
        <f>AH29-AF29</f>
        <v>3000</v>
      </c>
      <c r="AK29" s="9">
        <f t="shared" ref="AK29:AK31" si="10">SUM(AH29)</f>
        <v>11000</v>
      </c>
      <c r="AL29" s="9"/>
      <c r="AM29" s="9"/>
      <c r="AN29" s="9"/>
      <c r="AO29" s="9"/>
      <c r="AP29" s="9"/>
      <c r="AQ29" s="9"/>
    </row>
    <row r="30" spans="1:43" ht="20.25" customHeight="1" x14ac:dyDescent="0.35">
      <c r="A30" s="8"/>
      <c r="B30" s="8"/>
      <c r="C30" s="8"/>
      <c r="D30" s="8"/>
      <c r="E30" s="8"/>
      <c r="F30" s="8"/>
      <c r="G30" s="10" t="s">
        <v>130</v>
      </c>
      <c r="H30" s="9">
        <v>57924</v>
      </c>
      <c r="I30" s="9"/>
      <c r="J30" s="9">
        <v>57924</v>
      </c>
      <c r="K30" s="9"/>
      <c r="L30" s="9">
        <v>58000</v>
      </c>
      <c r="M30" s="9">
        <v>67566.929999999993</v>
      </c>
      <c r="N30" s="9">
        <v>58000</v>
      </c>
      <c r="O30" s="11">
        <f>N30/L30*1-1</f>
        <v>0</v>
      </c>
      <c r="P30" s="9">
        <f>N30-L30</f>
        <v>0</v>
      </c>
      <c r="Q30" s="9">
        <v>3775.31</v>
      </c>
      <c r="R30" s="9">
        <v>65000</v>
      </c>
      <c r="S30" s="9">
        <v>65000</v>
      </c>
      <c r="T30" s="11">
        <f>S30/N30*1-1</f>
        <v>0.1206896551724137</v>
      </c>
      <c r="U30" s="9">
        <f t="shared" si="9"/>
        <v>7000</v>
      </c>
      <c r="V30" s="8">
        <v>65000</v>
      </c>
      <c r="W30" s="8">
        <v>65000</v>
      </c>
      <c r="Y30" s="9">
        <v>65000</v>
      </c>
      <c r="Z30" s="9"/>
      <c r="AA30" s="9"/>
      <c r="AB30" s="9"/>
      <c r="AC30" s="9"/>
      <c r="AD30" s="9">
        <v>66000</v>
      </c>
      <c r="AE30" s="9">
        <v>66000</v>
      </c>
      <c r="AF30" s="9">
        <v>65000</v>
      </c>
      <c r="AG30" s="9">
        <v>65000</v>
      </c>
      <c r="AH30" s="9">
        <v>65000</v>
      </c>
      <c r="AI30" s="11">
        <f>AH30/AF30*1-1</f>
        <v>0</v>
      </c>
      <c r="AJ30" s="9">
        <f>AH30-AF30</f>
        <v>0</v>
      </c>
      <c r="AK30" s="9">
        <f t="shared" si="10"/>
        <v>65000</v>
      </c>
      <c r="AL30" s="9"/>
      <c r="AM30" s="9"/>
      <c r="AN30" s="9"/>
      <c r="AO30" s="9"/>
      <c r="AP30" s="9"/>
      <c r="AQ30" s="9"/>
    </row>
    <row r="31" spans="1:43" ht="20.25" customHeight="1" x14ac:dyDescent="0.35">
      <c r="A31" s="8"/>
      <c r="B31" s="8"/>
      <c r="C31" s="8"/>
      <c r="D31" s="8"/>
      <c r="E31" s="8"/>
      <c r="F31" s="8"/>
      <c r="G31" s="10" t="s">
        <v>131</v>
      </c>
      <c r="H31" s="9">
        <v>1158</v>
      </c>
      <c r="I31" s="9"/>
      <c r="J31" s="9">
        <v>290</v>
      </c>
      <c r="K31" s="9">
        <v>2236</v>
      </c>
      <c r="L31" s="9"/>
      <c r="M31" s="9">
        <v>2142</v>
      </c>
      <c r="N31" s="9">
        <v>5000</v>
      </c>
      <c r="O31" s="80" t="e">
        <f>N31/L31*1-1</f>
        <v>#DIV/0!</v>
      </c>
      <c r="P31" s="9">
        <f>N31-L31</f>
        <v>5000</v>
      </c>
      <c r="Q31" s="9"/>
      <c r="R31" s="9">
        <v>500</v>
      </c>
      <c r="S31" s="9">
        <v>1000</v>
      </c>
      <c r="T31" s="11">
        <f>S31/N31*1-1</f>
        <v>-0.8</v>
      </c>
      <c r="U31" s="9">
        <f t="shared" si="9"/>
        <v>-4000</v>
      </c>
      <c r="V31" s="8">
        <v>500</v>
      </c>
      <c r="W31" s="8">
        <v>500</v>
      </c>
      <c r="Y31" s="9">
        <v>1000</v>
      </c>
      <c r="Z31" s="9"/>
      <c r="AA31" s="9"/>
      <c r="AB31" s="9"/>
      <c r="AC31" s="9"/>
      <c r="AD31" s="9">
        <v>1000</v>
      </c>
      <c r="AE31" s="9">
        <v>1000</v>
      </c>
      <c r="AF31" s="9">
        <v>2000</v>
      </c>
      <c r="AG31" s="9">
        <v>2000</v>
      </c>
      <c r="AH31" s="9">
        <v>2000</v>
      </c>
      <c r="AI31" s="11">
        <f>AH31/AF31*1-1</f>
        <v>0</v>
      </c>
      <c r="AJ31" s="9">
        <f>AH31-AF31</f>
        <v>0</v>
      </c>
      <c r="AK31" s="9">
        <f t="shared" si="10"/>
        <v>2000</v>
      </c>
      <c r="AL31" s="9"/>
      <c r="AM31" s="9"/>
      <c r="AN31" s="9"/>
      <c r="AO31" s="9"/>
      <c r="AP31" s="9"/>
      <c r="AQ31" s="9"/>
    </row>
    <row r="32" spans="1:43" ht="20.25" customHeight="1" x14ac:dyDescent="0.35">
      <c r="A32" s="8"/>
      <c r="B32" s="8"/>
      <c r="C32" s="8"/>
      <c r="D32" s="8"/>
      <c r="E32" s="8"/>
      <c r="F32" s="8"/>
      <c r="G32" s="10" t="s">
        <v>94</v>
      </c>
      <c r="H32" s="9"/>
      <c r="I32" s="9"/>
      <c r="J32" s="9"/>
      <c r="K32" s="9"/>
      <c r="L32" s="9"/>
      <c r="M32" s="9">
        <v>24400</v>
      </c>
      <c r="N32" s="9"/>
      <c r="O32" s="80"/>
      <c r="P32" s="9"/>
      <c r="Q32" s="9">
        <v>15000</v>
      </c>
      <c r="R32" s="9">
        <v>0</v>
      </c>
      <c r="S32" s="9"/>
      <c r="T32" s="11"/>
      <c r="U32" s="9">
        <f t="shared" si="9"/>
        <v>0</v>
      </c>
      <c r="V32" s="8">
        <v>0</v>
      </c>
      <c r="W32" s="8">
        <v>0</v>
      </c>
      <c r="Y32" s="9"/>
      <c r="Z32" s="9"/>
      <c r="AA32" s="9"/>
      <c r="AB32" s="9"/>
      <c r="AC32" s="9"/>
      <c r="AD32" s="9">
        <v>0</v>
      </c>
      <c r="AE32" s="9"/>
      <c r="AF32" s="9"/>
      <c r="AG32" s="9"/>
      <c r="AH32" s="9"/>
      <c r="AI32" s="11"/>
      <c r="AJ32" s="9">
        <f>AF32-AE32</f>
        <v>0</v>
      </c>
      <c r="AK32" s="9"/>
      <c r="AL32" s="9"/>
      <c r="AM32" s="9"/>
      <c r="AN32" s="9"/>
      <c r="AO32" s="9"/>
      <c r="AP32" s="9"/>
      <c r="AQ32" s="9"/>
    </row>
    <row r="33" spans="1:43" ht="19.5" customHeight="1" x14ac:dyDescent="0.35">
      <c r="A33" s="8"/>
      <c r="B33" s="8"/>
      <c r="C33" s="8"/>
      <c r="D33" s="8"/>
      <c r="E33" s="8"/>
      <c r="F33" s="8"/>
      <c r="G33" s="81" t="s">
        <v>95</v>
      </c>
      <c r="H33" s="82">
        <f>SUM(H34:H43)</f>
        <v>35623</v>
      </c>
      <c r="I33" s="82"/>
      <c r="J33" s="82">
        <f>SUM(J34:J43)</f>
        <v>26356</v>
      </c>
      <c r="K33" s="82"/>
      <c r="L33" s="82">
        <f>SUM(L34:L43)</f>
        <v>13000</v>
      </c>
      <c r="M33" s="82">
        <f>SUM(M34,M40,M41,M43)</f>
        <v>41498.199999999997</v>
      </c>
      <c r="N33" s="82">
        <f>SUM(N34:N40)</f>
        <v>10000</v>
      </c>
      <c r="O33" s="83">
        <f>N33/L33*1-1</f>
        <v>-0.23076923076923073</v>
      </c>
      <c r="P33" s="82">
        <f>N33-L33</f>
        <v>-3000</v>
      </c>
      <c r="Q33" s="82">
        <f>SUM(Q34,Q40,Q41,Q43)</f>
        <v>23142.269999999997</v>
      </c>
      <c r="R33" s="82">
        <f>SUM(R34,R40,R41,R43)</f>
        <v>15700</v>
      </c>
      <c r="S33" s="82">
        <f>SUM(S34,S40,S41,S43)</f>
        <v>16000</v>
      </c>
      <c r="T33" s="83">
        <f>S33/Q33*1-1</f>
        <v>-0.30862443485448909</v>
      </c>
      <c r="U33" s="82">
        <f t="shared" si="9"/>
        <v>6000</v>
      </c>
      <c r="V33" s="60"/>
      <c r="W33" s="60"/>
      <c r="Y33" s="82">
        <f t="shared" ref="Y33:AF33" si="11">SUM(Y34,Y40,Y41,Y43)</f>
        <v>16000</v>
      </c>
      <c r="Z33" s="82">
        <f t="shared" si="11"/>
        <v>0</v>
      </c>
      <c r="AA33" s="82">
        <f t="shared" si="11"/>
        <v>0</v>
      </c>
      <c r="AB33" s="82">
        <f t="shared" si="11"/>
        <v>0</v>
      </c>
      <c r="AC33" s="82">
        <f t="shared" si="11"/>
        <v>0</v>
      </c>
      <c r="AD33" s="82">
        <f t="shared" si="11"/>
        <v>4000</v>
      </c>
      <c r="AE33" s="82">
        <f t="shared" si="11"/>
        <v>4000</v>
      </c>
      <c r="AF33" s="82">
        <f t="shared" si="11"/>
        <v>61000</v>
      </c>
      <c r="AG33" s="82">
        <f>SUM(AG34,AG40,AG43)</f>
        <v>48200</v>
      </c>
      <c r="AH33" s="82">
        <f>SUM(AH34,AH40,AH43)</f>
        <v>43000</v>
      </c>
      <c r="AI33" s="83">
        <f>AH33/AF33*1-1</f>
        <v>-0.29508196721311475</v>
      </c>
      <c r="AJ33" s="82">
        <f>AH33-AF33</f>
        <v>-18000</v>
      </c>
      <c r="AK33" s="82">
        <f>SUM(AK34,AK40,AK41,AK43)</f>
        <v>43000</v>
      </c>
      <c r="AL33" s="82"/>
      <c r="AM33" s="82"/>
      <c r="AN33" s="82">
        <f>SUM(AN34,AN40,AN41,AN43)</f>
        <v>0</v>
      </c>
      <c r="AO33" s="82">
        <f>SUM(AO34,AO40,AO41,AO43)</f>
        <v>0</v>
      </c>
      <c r="AP33" s="82">
        <f>SUM(AP34,AP40,AP41,AP43)</f>
        <v>0</v>
      </c>
      <c r="AQ33" s="82">
        <f>SUM(AQ34,AQ40,AQ41,AQ43)</f>
        <v>0</v>
      </c>
    </row>
    <row r="34" spans="1:43" ht="19.5" customHeight="1" x14ac:dyDescent="0.35">
      <c r="A34" s="8"/>
      <c r="B34" s="8"/>
      <c r="C34" s="8"/>
      <c r="D34" s="8"/>
      <c r="E34" s="8"/>
      <c r="F34" s="8"/>
      <c r="G34" s="62" t="s">
        <v>225</v>
      </c>
      <c r="H34" s="63">
        <v>3186</v>
      </c>
      <c r="I34" s="63"/>
      <c r="J34" s="63">
        <v>8689</v>
      </c>
      <c r="K34" s="63">
        <v>13133.92</v>
      </c>
      <c r="L34" s="63">
        <v>9000</v>
      </c>
      <c r="M34" s="63">
        <v>14845.31</v>
      </c>
      <c r="N34" s="63">
        <v>9000</v>
      </c>
      <c r="O34" s="64">
        <f>N34/L34*1-1</f>
        <v>0</v>
      </c>
      <c r="P34" s="63">
        <f>N34-L34</f>
        <v>0</v>
      </c>
      <c r="Q34" s="63">
        <v>6219.69</v>
      </c>
      <c r="R34" s="63">
        <v>14700</v>
      </c>
      <c r="S34" s="63">
        <v>15000</v>
      </c>
      <c r="T34" s="64">
        <f>S34/Q34*1-1</f>
        <v>1.4116957597565154</v>
      </c>
      <c r="U34" s="63">
        <f t="shared" si="9"/>
        <v>6000</v>
      </c>
      <c r="V34" s="63">
        <v>14300</v>
      </c>
      <c r="W34" s="63">
        <v>14000</v>
      </c>
      <c r="Y34" s="63">
        <v>15000</v>
      </c>
      <c r="Z34" s="63"/>
      <c r="AA34" s="63"/>
      <c r="AB34" s="63"/>
      <c r="AC34" s="63"/>
      <c r="AD34" s="63">
        <v>3000</v>
      </c>
      <c r="AE34" s="63">
        <v>3000</v>
      </c>
      <c r="AF34" s="63">
        <v>9600</v>
      </c>
      <c r="AG34" s="63">
        <f>SUM(AG35:AG39)</f>
        <v>8200</v>
      </c>
      <c r="AH34" s="63">
        <f>SUM(AH35:AH39)</f>
        <v>3200</v>
      </c>
      <c r="AI34" s="64">
        <f>AH34/AF34*1-1</f>
        <v>-0.66666666666666674</v>
      </c>
      <c r="AJ34" s="63">
        <f>AH34-AF34</f>
        <v>-6400</v>
      </c>
      <c r="AK34" s="63">
        <f>SUM(AH34)</f>
        <v>3200</v>
      </c>
      <c r="AL34" s="63"/>
      <c r="AM34" s="63"/>
      <c r="AN34" s="63"/>
      <c r="AO34" s="63"/>
      <c r="AP34" s="63"/>
      <c r="AQ34" s="63"/>
    </row>
    <row r="35" spans="1:43" ht="19.5" customHeight="1" x14ac:dyDescent="0.35">
      <c r="A35" s="8"/>
      <c r="B35" s="8"/>
      <c r="C35" s="8"/>
      <c r="D35" s="8"/>
      <c r="E35" s="8"/>
      <c r="F35" s="8"/>
      <c r="G35" s="62" t="s">
        <v>227</v>
      </c>
      <c r="H35" s="63"/>
      <c r="I35" s="63"/>
      <c r="J35" s="63"/>
      <c r="K35" s="63"/>
      <c r="L35" s="63"/>
      <c r="M35" s="63"/>
      <c r="N35" s="63"/>
      <c r="O35" s="64"/>
      <c r="P35" s="63"/>
      <c r="Q35" s="63"/>
      <c r="R35" s="63"/>
      <c r="S35" s="63"/>
      <c r="T35" s="64"/>
      <c r="U35" s="63"/>
      <c r="V35" s="63"/>
      <c r="W35" s="63"/>
      <c r="Y35" s="63"/>
      <c r="Z35" s="63"/>
      <c r="AA35" s="63"/>
      <c r="AB35" s="63"/>
      <c r="AC35" s="63"/>
      <c r="AD35" s="63"/>
      <c r="AE35" s="63"/>
      <c r="AF35" s="63"/>
      <c r="AG35" s="63">
        <v>1700</v>
      </c>
      <c r="AH35" s="63">
        <v>1700</v>
      </c>
      <c r="AI35" s="64"/>
      <c r="AJ35" s="63"/>
      <c r="AK35" s="63">
        <f t="shared" ref="AK35:AK46" si="12">SUM(AH35)</f>
        <v>1700</v>
      </c>
      <c r="AL35" s="63"/>
      <c r="AM35" s="63"/>
      <c r="AN35" s="63"/>
      <c r="AO35" s="63"/>
      <c r="AP35" s="63"/>
      <c r="AQ35" s="63"/>
    </row>
    <row r="36" spans="1:43" ht="19.5" customHeight="1" x14ac:dyDescent="0.35">
      <c r="A36" s="8"/>
      <c r="B36" s="8"/>
      <c r="C36" s="8"/>
      <c r="D36" s="8"/>
      <c r="E36" s="8"/>
      <c r="F36" s="8"/>
      <c r="G36" s="62" t="s">
        <v>226</v>
      </c>
      <c r="H36" s="63"/>
      <c r="I36" s="63"/>
      <c r="J36" s="63"/>
      <c r="K36" s="63"/>
      <c r="L36" s="63"/>
      <c r="M36" s="63"/>
      <c r="N36" s="63"/>
      <c r="O36" s="64"/>
      <c r="P36" s="63"/>
      <c r="Q36" s="63"/>
      <c r="R36" s="63"/>
      <c r="S36" s="63"/>
      <c r="T36" s="64"/>
      <c r="U36" s="63"/>
      <c r="V36" s="63"/>
      <c r="W36" s="63"/>
      <c r="Y36" s="63"/>
      <c r="Z36" s="63"/>
      <c r="AA36" s="63"/>
      <c r="AB36" s="63"/>
      <c r="AC36" s="63"/>
      <c r="AD36" s="63"/>
      <c r="AE36" s="63"/>
      <c r="AF36" s="63"/>
      <c r="AG36" s="63">
        <v>380</v>
      </c>
      <c r="AH36" s="63">
        <v>380</v>
      </c>
      <c r="AI36" s="64"/>
      <c r="AJ36" s="63"/>
      <c r="AK36" s="63">
        <f t="shared" si="12"/>
        <v>380</v>
      </c>
      <c r="AL36" s="63"/>
      <c r="AM36" s="63"/>
      <c r="AN36" s="63"/>
      <c r="AO36" s="63"/>
      <c r="AP36" s="63"/>
      <c r="AQ36" s="63"/>
    </row>
    <row r="37" spans="1:43" ht="27.65" customHeight="1" x14ac:dyDescent="0.35">
      <c r="A37" s="8"/>
      <c r="B37" s="8"/>
      <c r="C37" s="8"/>
      <c r="D37" s="8"/>
      <c r="E37" s="8"/>
      <c r="F37" s="8"/>
      <c r="G37" s="151" t="s">
        <v>228</v>
      </c>
      <c r="H37" s="63"/>
      <c r="I37" s="63"/>
      <c r="J37" s="63"/>
      <c r="K37" s="63"/>
      <c r="L37" s="63"/>
      <c r="M37" s="63"/>
      <c r="N37" s="63"/>
      <c r="O37" s="64"/>
      <c r="P37" s="63"/>
      <c r="Q37" s="63"/>
      <c r="R37" s="63"/>
      <c r="S37" s="63"/>
      <c r="T37" s="64"/>
      <c r="U37" s="63"/>
      <c r="V37" s="63"/>
      <c r="W37" s="63"/>
      <c r="Y37" s="63"/>
      <c r="Z37" s="63"/>
      <c r="AA37" s="63"/>
      <c r="AB37" s="63"/>
      <c r="AC37" s="63"/>
      <c r="AD37" s="63"/>
      <c r="AE37" s="63"/>
      <c r="AF37" s="63"/>
      <c r="AG37" s="63">
        <v>120</v>
      </c>
      <c r="AH37" s="63">
        <v>120</v>
      </c>
      <c r="AI37" s="64"/>
      <c r="AJ37" s="63"/>
      <c r="AK37" s="63">
        <f t="shared" si="12"/>
        <v>120</v>
      </c>
      <c r="AL37" s="63"/>
      <c r="AM37" s="63"/>
      <c r="AN37" s="63"/>
      <c r="AO37" s="63"/>
      <c r="AP37" s="63"/>
      <c r="AQ37" s="63"/>
    </row>
    <row r="38" spans="1:43" ht="25.75" hidden="1" customHeight="1" x14ac:dyDescent="0.35">
      <c r="A38" s="8"/>
      <c r="B38" s="8"/>
      <c r="C38" s="8"/>
      <c r="D38" s="8"/>
      <c r="E38" s="8"/>
      <c r="F38" s="8"/>
      <c r="G38" s="151" t="s">
        <v>231</v>
      </c>
      <c r="H38" s="63"/>
      <c r="I38" s="63"/>
      <c r="J38" s="63"/>
      <c r="K38" s="63"/>
      <c r="L38" s="63"/>
      <c r="M38" s="63"/>
      <c r="N38" s="63"/>
      <c r="O38" s="64"/>
      <c r="P38" s="63"/>
      <c r="Q38" s="63"/>
      <c r="R38" s="63"/>
      <c r="S38" s="63"/>
      <c r="T38" s="64"/>
      <c r="U38" s="63"/>
      <c r="V38" s="63"/>
      <c r="W38" s="63"/>
      <c r="Y38" s="63"/>
      <c r="Z38" s="63"/>
      <c r="AA38" s="63"/>
      <c r="AB38" s="63"/>
      <c r="AC38" s="63"/>
      <c r="AD38" s="63"/>
      <c r="AE38" s="63"/>
      <c r="AF38" s="63"/>
      <c r="AG38" s="63">
        <v>5000</v>
      </c>
      <c r="AH38" s="63"/>
      <c r="AI38" s="64"/>
      <c r="AJ38" s="63"/>
      <c r="AK38" s="63">
        <f t="shared" si="12"/>
        <v>0</v>
      </c>
      <c r="AL38" s="63"/>
      <c r="AM38" s="63"/>
      <c r="AN38" s="63"/>
      <c r="AO38" s="63"/>
      <c r="AP38" s="63"/>
      <c r="AQ38" s="63"/>
    </row>
    <row r="39" spans="1:43" ht="19.5" customHeight="1" x14ac:dyDescent="0.35">
      <c r="A39" s="8"/>
      <c r="B39" s="8"/>
      <c r="C39" s="8"/>
      <c r="D39" s="8"/>
      <c r="E39" s="8"/>
      <c r="F39" s="8"/>
      <c r="G39" s="62" t="s">
        <v>230</v>
      </c>
      <c r="H39" s="63"/>
      <c r="I39" s="63"/>
      <c r="J39" s="63"/>
      <c r="K39" s="63"/>
      <c r="L39" s="63"/>
      <c r="M39" s="63"/>
      <c r="N39" s="63"/>
      <c r="O39" s="64"/>
      <c r="P39" s="63"/>
      <c r="Q39" s="63"/>
      <c r="R39" s="63"/>
      <c r="S39" s="63"/>
      <c r="T39" s="64"/>
      <c r="U39" s="63"/>
      <c r="V39" s="63"/>
      <c r="W39" s="63"/>
      <c r="Y39" s="63"/>
      <c r="Z39" s="63"/>
      <c r="AA39" s="63"/>
      <c r="AB39" s="63"/>
      <c r="AC39" s="63"/>
      <c r="AD39" s="63"/>
      <c r="AE39" s="63"/>
      <c r="AF39" s="63"/>
      <c r="AG39" s="63">
        <v>1000</v>
      </c>
      <c r="AH39" s="63">
        <v>1000</v>
      </c>
      <c r="AI39" s="64"/>
      <c r="AJ39" s="63"/>
      <c r="AK39" s="63">
        <f t="shared" si="12"/>
        <v>1000</v>
      </c>
      <c r="AL39" s="63"/>
      <c r="AM39" s="63"/>
      <c r="AN39" s="63"/>
      <c r="AO39" s="63"/>
      <c r="AP39" s="63"/>
      <c r="AQ39" s="63"/>
    </row>
    <row r="40" spans="1:43" ht="19.5" customHeight="1" x14ac:dyDescent="0.35">
      <c r="A40" s="8"/>
      <c r="B40" s="8"/>
      <c r="C40" s="8"/>
      <c r="D40" s="8"/>
      <c r="E40" s="8"/>
      <c r="F40" s="8"/>
      <c r="G40" s="62" t="s">
        <v>36</v>
      </c>
      <c r="H40" s="63">
        <v>17377</v>
      </c>
      <c r="I40" s="63"/>
      <c r="J40" s="63">
        <v>3186</v>
      </c>
      <c r="K40" s="63"/>
      <c r="L40" s="63">
        <v>2000</v>
      </c>
      <c r="M40" s="63">
        <v>1161.27</v>
      </c>
      <c r="N40" s="63">
        <v>1000</v>
      </c>
      <c r="O40" s="64">
        <f>N40/L40*1-1</f>
        <v>-0.5</v>
      </c>
      <c r="P40" s="63">
        <f>N40-L40</f>
        <v>-1000</v>
      </c>
      <c r="Q40" s="63">
        <v>746.71</v>
      </c>
      <c r="R40" s="63">
        <v>1000</v>
      </c>
      <c r="S40" s="63">
        <v>1000</v>
      </c>
      <c r="T40" s="75">
        <f>S40/N40*1-1</f>
        <v>0</v>
      </c>
      <c r="U40" s="74">
        <f t="shared" ref="U40:U45" si="13">S40-N40</f>
        <v>0</v>
      </c>
      <c r="V40" s="40">
        <v>1000</v>
      </c>
      <c r="W40" s="40">
        <v>1000</v>
      </c>
      <c r="Y40" s="63">
        <v>1000</v>
      </c>
      <c r="Z40" s="63"/>
      <c r="AA40" s="63"/>
      <c r="AB40" s="63"/>
      <c r="AC40" s="63"/>
      <c r="AD40" s="63">
        <v>1000</v>
      </c>
      <c r="AE40" s="63">
        <v>1000</v>
      </c>
      <c r="AF40" s="63">
        <v>900</v>
      </c>
      <c r="AG40" s="63"/>
      <c r="AH40" s="63"/>
      <c r="AI40" s="64">
        <f>AH40/AF40*1-1</f>
        <v>-1</v>
      </c>
      <c r="AJ40" s="63">
        <f>AH40-AF40</f>
        <v>-900</v>
      </c>
      <c r="AK40" s="63">
        <f t="shared" si="12"/>
        <v>0</v>
      </c>
      <c r="AL40" s="63"/>
      <c r="AM40" s="63"/>
      <c r="AN40" s="63"/>
      <c r="AO40" s="63"/>
      <c r="AP40" s="63"/>
      <c r="AQ40" s="63"/>
    </row>
    <row r="41" spans="1:43" ht="19.5" hidden="1" customHeight="1" x14ac:dyDescent="0.35">
      <c r="A41" s="8"/>
      <c r="B41" s="8"/>
      <c r="C41" s="8"/>
      <c r="D41" s="8"/>
      <c r="E41" s="8"/>
      <c r="F41" s="8"/>
      <c r="G41" s="62" t="s">
        <v>74</v>
      </c>
      <c r="H41" s="63"/>
      <c r="I41" s="63"/>
      <c r="J41" s="63"/>
      <c r="K41" s="63"/>
      <c r="L41" s="63"/>
      <c r="M41" s="63">
        <v>21806.01</v>
      </c>
      <c r="N41" s="63"/>
      <c r="O41" s="64"/>
      <c r="P41" s="63"/>
      <c r="Q41" s="63">
        <v>6857.98</v>
      </c>
      <c r="R41" s="63"/>
      <c r="S41" s="63"/>
      <c r="T41" s="75"/>
      <c r="U41" s="74">
        <f t="shared" si="13"/>
        <v>0</v>
      </c>
      <c r="V41" s="40"/>
      <c r="W41" s="40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75"/>
      <c r="AJ41" s="74">
        <f>AE41-Z41</f>
        <v>0</v>
      </c>
      <c r="AK41" s="63">
        <f t="shared" si="12"/>
        <v>0</v>
      </c>
      <c r="AL41" s="63"/>
      <c r="AM41" s="63"/>
      <c r="AN41" s="63"/>
      <c r="AO41" s="63"/>
      <c r="AP41" s="63"/>
      <c r="AQ41" s="63"/>
    </row>
    <row r="42" spans="1:43" ht="19.5" hidden="1" customHeight="1" x14ac:dyDescent="0.35">
      <c r="A42" s="8"/>
      <c r="B42" s="8"/>
      <c r="C42" s="8"/>
      <c r="D42" s="8"/>
      <c r="E42" s="8"/>
      <c r="F42" s="8"/>
      <c r="G42" s="62" t="s">
        <v>75</v>
      </c>
      <c r="H42" s="63"/>
      <c r="I42" s="63"/>
      <c r="J42" s="63"/>
      <c r="K42" s="63"/>
      <c r="L42" s="63"/>
      <c r="M42" s="63">
        <v>163.44</v>
      </c>
      <c r="N42" s="63"/>
      <c r="O42" s="64"/>
      <c r="P42" s="63"/>
      <c r="Q42" s="63">
        <v>112.67</v>
      </c>
      <c r="R42" s="63">
        <v>160</v>
      </c>
      <c r="S42" s="63"/>
      <c r="T42" s="75"/>
      <c r="U42" s="74">
        <f t="shared" si="13"/>
        <v>0</v>
      </c>
      <c r="V42" s="40">
        <v>160</v>
      </c>
      <c r="W42" s="40">
        <v>160</v>
      </c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75"/>
      <c r="AJ42" s="74">
        <f>AE42-Z42</f>
        <v>0</v>
      </c>
      <c r="AK42" s="63">
        <f t="shared" si="12"/>
        <v>0</v>
      </c>
      <c r="AL42" s="63"/>
      <c r="AM42" s="63"/>
      <c r="AN42" s="63"/>
      <c r="AO42" s="63"/>
      <c r="AP42" s="63"/>
      <c r="AQ42" s="63"/>
    </row>
    <row r="43" spans="1:43" ht="19.5" customHeight="1" x14ac:dyDescent="0.35">
      <c r="A43" s="8"/>
      <c r="B43" s="59"/>
      <c r="C43" s="8"/>
      <c r="D43" s="8"/>
      <c r="E43" s="8"/>
      <c r="F43" s="8"/>
      <c r="G43" s="62" t="s">
        <v>132</v>
      </c>
      <c r="H43" s="63">
        <v>15060</v>
      </c>
      <c r="I43" s="63"/>
      <c r="J43" s="63">
        <v>14481</v>
      </c>
      <c r="K43" s="63"/>
      <c r="L43" s="63">
        <v>2000</v>
      </c>
      <c r="M43" s="63">
        <v>3685.61</v>
      </c>
      <c r="N43" s="63"/>
      <c r="O43" s="64">
        <f>N43/L43*1-1</f>
        <v>-1</v>
      </c>
      <c r="P43" s="63">
        <f>N43-L43</f>
        <v>-2000</v>
      </c>
      <c r="Q43" s="63">
        <v>9317.89</v>
      </c>
      <c r="R43" s="63"/>
      <c r="S43" s="63"/>
      <c r="T43" s="75"/>
      <c r="U43" s="74">
        <f t="shared" si="13"/>
        <v>0</v>
      </c>
      <c r="V43" s="40"/>
      <c r="W43" s="40"/>
      <c r="Y43" s="63"/>
      <c r="Z43" s="63"/>
      <c r="AA43" s="63"/>
      <c r="AB43" s="63"/>
      <c r="AC43" s="63"/>
      <c r="AD43" s="63"/>
      <c r="AE43" s="63"/>
      <c r="AF43" s="63">
        <v>50500</v>
      </c>
      <c r="AG43" s="63">
        <v>40000</v>
      </c>
      <c r="AH43" s="63">
        <v>39800</v>
      </c>
      <c r="AI43" s="75"/>
      <c r="AJ43" s="63">
        <f>AH43-AF43</f>
        <v>-10700</v>
      </c>
      <c r="AK43" s="63">
        <f t="shared" si="12"/>
        <v>39800</v>
      </c>
      <c r="AL43" s="63"/>
      <c r="AM43" s="63"/>
      <c r="AN43" s="63"/>
      <c r="AO43" s="63"/>
      <c r="AP43" s="63"/>
      <c r="AQ43" s="63"/>
    </row>
    <row r="44" spans="1:43" ht="19.5" hidden="1" customHeight="1" x14ac:dyDescent="0.35">
      <c r="A44" s="8"/>
      <c r="B44" s="58"/>
      <c r="C44" s="58"/>
      <c r="D44" s="58"/>
      <c r="E44" s="58"/>
      <c r="F44" s="58"/>
      <c r="G44" s="79" t="s">
        <v>76</v>
      </c>
      <c r="H44" s="63"/>
      <c r="I44" s="63"/>
      <c r="J44" s="63"/>
      <c r="K44" s="63"/>
      <c r="L44" s="63"/>
      <c r="M44" s="63">
        <v>800</v>
      </c>
      <c r="N44" s="63"/>
      <c r="O44" s="64"/>
      <c r="P44" s="63"/>
      <c r="Q44" s="63"/>
      <c r="R44" s="63"/>
      <c r="S44" s="63"/>
      <c r="T44" s="75"/>
      <c r="U44" s="74">
        <f t="shared" si="13"/>
        <v>0</v>
      </c>
      <c r="V44" s="40"/>
      <c r="W44" s="40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75"/>
      <c r="AJ44" s="74">
        <f>AE44-Z44</f>
        <v>0</v>
      </c>
      <c r="AK44" s="63">
        <f t="shared" si="12"/>
        <v>0</v>
      </c>
      <c r="AL44" s="63"/>
      <c r="AM44" s="63"/>
      <c r="AN44" s="63"/>
      <c r="AO44" s="63"/>
      <c r="AP44" s="63"/>
      <c r="AQ44" s="63"/>
    </row>
    <row r="45" spans="1:43" ht="19.5" hidden="1" customHeight="1" x14ac:dyDescent="0.35">
      <c r="A45" s="8"/>
      <c r="B45" s="58"/>
      <c r="C45" s="58"/>
      <c r="D45" s="58"/>
      <c r="E45" s="58"/>
      <c r="F45" s="58"/>
      <c r="G45" s="79" t="s">
        <v>78</v>
      </c>
      <c r="H45" s="63"/>
      <c r="I45" s="63"/>
      <c r="J45" s="63"/>
      <c r="K45" s="63"/>
      <c r="L45" s="63"/>
      <c r="M45" s="63"/>
      <c r="N45" s="63"/>
      <c r="O45" s="64"/>
      <c r="P45" s="63"/>
      <c r="Q45" s="63">
        <v>6370</v>
      </c>
      <c r="R45" s="63"/>
      <c r="S45" s="63"/>
      <c r="T45" s="75"/>
      <c r="U45" s="74">
        <f t="shared" si="13"/>
        <v>0</v>
      </c>
      <c r="V45" s="40"/>
      <c r="W45" s="40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75"/>
      <c r="AJ45" s="74">
        <f>AE45-Z45</f>
        <v>0</v>
      </c>
      <c r="AK45" s="63">
        <f t="shared" si="12"/>
        <v>0</v>
      </c>
      <c r="AL45" s="63"/>
      <c r="AM45" s="63"/>
      <c r="AN45" s="63"/>
      <c r="AO45" s="63"/>
      <c r="AP45" s="63"/>
      <c r="AQ45" s="63"/>
    </row>
    <row r="46" spans="1:43" ht="19.5" hidden="1" customHeight="1" x14ac:dyDescent="0.35">
      <c r="A46" s="8"/>
      <c r="B46" s="58"/>
      <c r="C46" s="58"/>
      <c r="D46" s="58"/>
      <c r="E46" s="58"/>
      <c r="F46" s="58"/>
      <c r="G46" s="79" t="s">
        <v>77</v>
      </c>
      <c r="H46" s="63"/>
      <c r="I46" s="63"/>
      <c r="J46" s="63"/>
      <c r="K46" s="63"/>
      <c r="L46" s="63"/>
      <c r="M46" s="63">
        <v>624.38</v>
      </c>
      <c r="N46" s="63"/>
      <c r="O46" s="64"/>
      <c r="P46" s="63"/>
      <c r="Q46" s="63">
        <v>1649.41</v>
      </c>
      <c r="R46" s="63"/>
      <c r="S46" s="63"/>
      <c r="T46" s="64"/>
      <c r="U46" s="63"/>
      <c r="V46" s="40"/>
      <c r="W46" s="40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J46" s="63"/>
      <c r="AK46" s="63">
        <f t="shared" si="12"/>
        <v>0</v>
      </c>
      <c r="AL46" s="63"/>
      <c r="AM46" s="63"/>
      <c r="AN46" s="63"/>
      <c r="AO46" s="63"/>
      <c r="AP46" s="63"/>
      <c r="AQ46" s="63"/>
    </row>
    <row r="47" spans="1:43" s="34" customFormat="1" ht="31.4" hidden="1" customHeight="1" x14ac:dyDescent="0.35">
      <c r="A47" s="153"/>
      <c r="B47" s="154"/>
      <c r="C47" s="154"/>
      <c r="D47" s="154"/>
      <c r="E47" s="154"/>
      <c r="F47" s="154"/>
      <c r="G47" s="152" t="s">
        <v>229</v>
      </c>
      <c r="H47" s="15"/>
      <c r="I47" s="15"/>
      <c r="J47" s="15"/>
      <c r="K47" s="15"/>
      <c r="L47" s="15"/>
      <c r="M47" s="15"/>
      <c r="N47" s="15"/>
      <c r="O47" s="11"/>
      <c r="P47" s="15"/>
      <c r="Q47" s="15"/>
      <c r="R47" s="15"/>
      <c r="S47" s="15"/>
      <c r="T47" s="11"/>
      <c r="U47" s="15"/>
      <c r="V47" s="15"/>
      <c r="W47" s="15"/>
      <c r="X47" s="155"/>
      <c r="Y47" s="15"/>
      <c r="Z47" s="15"/>
      <c r="AA47" s="15"/>
      <c r="AB47" s="15"/>
      <c r="AC47" s="15"/>
      <c r="AD47" s="15"/>
      <c r="AE47" s="15"/>
      <c r="AF47" s="15"/>
      <c r="AG47" s="15">
        <v>360</v>
      </c>
      <c r="AH47" s="15"/>
      <c r="AI47" s="11"/>
      <c r="AJ47" s="15"/>
      <c r="AK47" s="15"/>
      <c r="AL47" s="15"/>
      <c r="AM47" s="15"/>
      <c r="AN47" s="15"/>
      <c r="AO47" s="15"/>
      <c r="AP47" s="15"/>
      <c r="AQ47" s="15"/>
    </row>
    <row r="48" spans="1:43" ht="29.25" customHeight="1" x14ac:dyDescent="0.35">
      <c r="A48" s="335" t="s">
        <v>133</v>
      </c>
      <c r="B48" s="336"/>
      <c r="C48" s="336"/>
      <c r="D48" s="336"/>
      <c r="E48" s="336"/>
      <c r="F48" s="336"/>
      <c r="G48" s="337"/>
      <c r="H48" s="35">
        <v>1808677</v>
      </c>
      <c r="I48" s="35"/>
      <c r="J48" s="35">
        <v>1500532</v>
      </c>
      <c r="K48" s="35">
        <v>1500532</v>
      </c>
      <c r="L48" s="35">
        <v>1958000</v>
      </c>
      <c r="M48" s="35">
        <v>1958000</v>
      </c>
      <c r="N48" s="35">
        <v>2459000</v>
      </c>
      <c r="O48" s="36">
        <f>N48/L48*1-1</f>
        <v>0.25587334014300311</v>
      </c>
      <c r="P48" s="35">
        <f>N48-L48</f>
        <v>501000</v>
      </c>
      <c r="Q48" s="35"/>
      <c r="R48" s="66">
        <v>2459400</v>
      </c>
      <c r="S48" s="35">
        <v>0</v>
      </c>
      <c r="T48" s="36">
        <f>S48/N48*1-1</f>
        <v>-1</v>
      </c>
      <c r="U48" s="35">
        <f>S48-N48</f>
        <v>-2459000</v>
      </c>
      <c r="V48" s="35">
        <v>2459000</v>
      </c>
      <c r="W48" s="35">
        <v>2459000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66">
        <v>0</v>
      </c>
      <c r="AE48" s="35">
        <v>0</v>
      </c>
      <c r="AF48" s="35">
        <v>0</v>
      </c>
      <c r="AG48" s="35"/>
      <c r="AH48" s="35"/>
      <c r="AI48" s="36">
        <v>0</v>
      </c>
      <c r="AJ48" s="35">
        <f>AE48-Z48</f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</row>
    <row r="49" spans="1:43" ht="26.25" hidden="1" customHeight="1" x14ac:dyDescent="0.35">
      <c r="A49" s="30"/>
      <c r="B49" s="67"/>
      <c r="C49" s="30"/>
      <c r="D49" s="30"/>
      <c r="E49" s="30"/>
      <c r="F49" s="30"/>
      <c r="G49" s="32" t="s">
        <v>39</v>
      </c>
      <c r="H49" s="30"/>
      <c r="I49" s="30"/>
      <c r="J49" s="30"/>
      <c r="K49" s="30"/>
      <c r="L49" s="30"/>
      <c r="M49" s="30"/>
      <c r="N49" s="30">
        <v>22000</v>
      </c>
      <c r="O49" s="31"/>
      <c r="P49" s="30"/>
      <c r="Q49" s="30"/>
      <c r="R49" s="30"/>
      <c r="S49" s="30"/>
      <c r="T49" s="31"/>
      <c r="U49" s="8">
        <f>S49-N49</f>
        <v>-22000</v>
      </c>
      <c r="V49" s="30"/>
      <c r="W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1"/>
      <c r="AJ49" s="8">
        <f>AE49-Z49</f>
        <v>0</v>
      </c>
      <c r="AK49" s="30"/>
      <c r="AL49" s="30"/>
      <c r="AM49" s="30"/>
      <c r="AN49" s="30"/>
      <c r="AO49" s="30"/>
      <c r="AP49" s="30"/>
      <c r="AQ49" s="30"/>
    </row>
    <row r="50" spans="1:43" ht="39" customHeight="1" x14ac:dyDescent="0.35">
      <c r="A50" s="339" t="s">
        <v>12</v>
      </c>
      <c r="B50" s="340"/>
      <c r="C50" s="340"/>
      <c r="D50" s="340"/>
      <c r="E50" s="340"/>
      <c r="F50" s="340"/>
      <c r="G50" s="341"/>
      <c r="H50" s="42">
        <f t="shared" ref="H50:N50" si="14">SUM(H6,H48)</f>
        <v>9384557</v>
      </c>
      <c r="I50" s="42">
        <f t="shared" si="14"/>
        <v>0</v>
      </c>
      <c r="J50" s="42">
        <f t="shared" si="14"/>
        <v>10586755</v>
      </c>
      <c r="K50" s="42">
        <f t="shared" si="14"/>
        <v>10338803.4</v>
      </c>
      <c r="L50" s="42">
        <f t="shared" si="14"/>
        <v>11158000</v>
      </c>
      <c r="M50" s="42">
        <f t="shared" si="14"/>
        <v>11202134.879999999</v>
      </c>
      <c r="N50" s="42">
        <f t="shared" si="14"/>
        <v>11462000</v>
      </c>
      <c r="O50" s="43">
        <f>N50/L50*1-1</f>
        <v>2.7245025990320748E-2</v>
      </c>
      <c r="P50" s="42">
        <f>N50-L50</f>
        <v>304000</v>
      </c>
      <c r="Q50" s="42"/>
      <c r="R50" s="42">
        <f>SUM(R6,R48)</f>
        <v>11462000</v>
      </c>
      <c r="S50" s="42">
        <f>SUM(S6,S48)</f>
        <v>15087000</v>
      </c>
      <c r="T50" s="43">
        <f>S50/N50*1-1</f>
        <v>0.31626243238527318</v>
      </c>
      <c r="U50" s="42">
        <f>S50-N50</f>
        <v>3625000</v>
      </c>
      <c r="V50" s="42">
        <f>SUM(V6,V48)</f>
        <v>2612900</v>
      </c>
      <c r="W50" s="42">
        <f>SUM(W6,W48)</f>
        <v>2612900</v>
      </c>
      <c r="Y50" s="42">
        <f t="shared" ref="Y50:AF50" si="15">SUM(Y6,Y48)</f>
        <v>15087000</v>
      </c>
      <c r="Z50" s="42">
        <f t="shared" si="15"/>
        <v>0</v>
      </c>
      <c r="AA50" s="42">
        <f t="shared" si="15"/>
        <v>0</v>
      </c>
      <c r="AB50" s="42">
        <f t="shared" si="15"/>
        <v>0</v>
      </c>
      <c r="AC50" s="42">
        <f t="shared" si="15"/>
        <v>0</v>
      </c>
      <c r="AD50" s="42">
        <f t="shared" si="15"/>
        <v>15321000</v>
      </c>
      <c r="AE50" s="42">
        <f t="shared" si="15"/>
        <v>15438000</v>
      </c>
      <c r="AF50" s="42">
        <f t="shared" si="15"/>
        <v>16070000</v>
      </c>
      <c r="AG50" s="42">
        <f t="shared" ref="AG50" si="16">SUM(AG6,AG48)</f>
        <v>231560</v>
      </c>
      <c r="AH50" s="42">
        <f>SUM(AH6,AH48)</f>
        <v>14435000</v>
      </c>
      <c r="AI50" s="43">
        <f>AH50/AF50*1-1</f>
        <v>-0.10174237710018663</v>
      </c>
      <c r="AJ50" s="42">
        <f>AH50-AF50</f>
        <v>-1635000</v>
      </c>
      <c r="AK50" s="42">
        <f t="shared" ref="AK50:AQ50" si="17">SUM(AK6,AK48)</f>
        <v>13060070</v>
      </c>
      <c r="AL50" s="42">
        <f t="shared" si="17"/>
        <v>2176930</v>
      </c>
      <c r="AM50" s="42">
        <f t="shared" si="17"/>
        <v>0</v>
      </c>
      <c r="AN50" s="42">
        <f t="shared" si="17"/>
        <v>0</v>
      </c>
      <c r="AO50" s="42">
        <f t="shared" si="17"/>
        <v>0</v>
      </c>
      <c r="AP50" s="42">
        <f t="shared" si="17"/>
        <v>0</v>
      </c>
      <c r="AQ50" s="42">
        <f t="shared" si="17"/>
        <v>0</v>
      </c>
    </row>
    <row r="51" spans="1:43" s="16" customFormat="1" ht="25.5" hidden="1" customHeight="1" x14ac:dyDescent="0.3">
      <c r="A51" s="99" t="s">
        <v>25</v>
      </c>
      <c r="B51" s="99"/>
      <c r="C51" s="99"/>
      <c r="D51" s="99"/>
      <c r="E51" s="99"/>
      <c r="F51" s="99"/>
      <c r="G51" s="99"/>
      <c r="H51" s="99"/>
      <c r="I51" s="99"/>
      <c r="J51" s="99"/>
      <c r="K51" s="99">
        <v>346209.82</v>
      </c>
      <c r="L51" s="99">
        <v>236275</v>
      </c>
      <c r="M51" s="99"/>
      <c r="N51" s="99">
        <v>17576</v>
      </c>
      <c r="O51" s="100">
        <f>N51/L51*1-1</f>
        <v>-0.92561210453920217</v>
      </c>
      <c r="P51" s="99">
        <f>N51-L51</f>
        <v>-218699</v>
      </c>
      <c r="Q51" s="99"/>
      <c r="R51" s="99"/>
      <c r="S51" s="99">
        <f>SUM(S52:S53)</f>
        <v>195626</v>
      </c>
      <c r="T51" s="100">
        <f>S51/N51*1-1</f>
        <v>10.130291306326809</v>
      </c>
      <c r="U51" s="99">
        <f>S51-N51</f>
        <v>178050</v>
      </c>
      <c r="V51" s="101"/>
      <c r="W51" s="101"/>
      <c r="X51" s="102"/>
      <c r="Y51" s="99">
        <f>SUM(Y52)</f>
        <v>0</v>
      </c>
      <c r="Z51" s="99">
        <f>SUM(Z52)</f>
        <v>0</v>
      </c>
      <c r="AA51" s="99">
        <f>SUM(AA52)</f>
        <v>0</v>
      </c>
      <c r="AB51" s="99">
        <f>SUM(AB52)</f>
        <v>0</v>
      </c>
      <c r="AC51" s="99">
        <f>SUM(AC52:AC53)</f>
        <v>195626</v>
      </c>
      <c r="AD51" s="99"/>
      <c r="AE51" s="99">
        <f>SUM(AE52:AE53)</f>
        <v>649919</v>
      </c>
      <c r="AF51" s="99">
        <f>SUM(AF52:AF53)</f>
        <v>1226066</v>
      </c>
      <c r="AG51" s="99"/>
      <c r="AH51" s="99"/>
      <c r="AI51" s="100">
        <f t="shared" ref="AI51:AI57" si="18">AF51/AE51*1-1</f>
        <v>0.88649047035092066</v>
      </c>
      <c r="AJ51" s="99">
        <f t="shared" ref="AJ51:AJ60" si="19">AF51-AE51</f>
        <v>576147</v>
      </c>
      <c r="AK51" s="99">
        <f>SUM(AK52)</f>
        <v>0</v>
      </c>
      <c r="AL51" s="99"/>
      <c r="AM51" s="99"/>
      <c r="AN51" s="99">
        <f>SUM(AN52)</f>
        <v>0</v>
      </c>
      <c r="AO51" s="99">
        <f>SUM(AO52)</f>
        <v>0</v>
      </c>
      <c r="AP51" s="99">
        <f>SUM(AP52)</f>
        <v>0</v>
      </c>
      <c r="AQ51" s="99">
        <f>SUM(AQ52:AQ53)</f>
        <v>1226066</v>
      </c>
    </row>
    <row r="52" spans="1:43" s="16" customFormat="1" ht="25.5" hidden="1" customHeight="1" x14ac:dyDescent="0.3">
      <c r="A52" s="84"/>
      <c r="B52" s="84"/>
      <c r="C52" s="84"/>
      <c r="D52" s="84"/>
      <c r="E52" s="84"/>
      <c r="F52" s="84"/>
      <c r="G52" s="46" t="s">
        <v>96</v>
      </c>
      <c r="H52" s="84"/>
      <c r="I52" s="84"/>
      <c r="J52" s="84"/>
      <c r="K52" s="84"/>
      <c r="L52" s="84"/>
      <c r="M52" s="84"/>
      <c r="N52" s="84"/>
      <c r="O52" s="20"/>
      <c r="P52" s="68"/>
      <c r="Q52" s="68"/>
      <c r="R52" s="84"/>
      <c r="S52" s="46">
        <v>65496</v>
      </c>
      <c r="T52" s="20"/>
      <c r="U52" s="68"/>
      <c r="V52" s="15"/>
      <c r="W52" s="15"/>
      <c r="Y52" s="46"/>
      <c r="Z52" s="46"/>
      <c r="AA52" s="46"/>
      <c r="AB52" s="46"/>
      <c r="AC52" s="46">
        <v>65496</v>
      </c>
      <c r="AD52" s="84"/>
      <c r="AE52" s="46">
        <v>76597</v>
      </c>
      <c r="AF52" s="46">
        <v>48017</v>
      </c>
      <c r="AG52" s="46"/>
      <c r="AH52" s="46"/>
      <c r="AI52" s="12">
        <f t="shared" si="18"/>
        <v>-0.37312166272830527</v>
      </c>
      <c r="AJ52" s="69">
        <f t="shared" si="19"/>
        <v>-28580</v>
      </c>
      <c r="AK52" s="46"/>
      <c r="AL52" s="46"/>
      <c r="AM52" s="46"/>
      <c r="AN52" s="46"/>
      <c r="AO52" s="46"/>
      <c r="AP52" s="46"/>
      <c r="AQ52" s="46">
        <f>SUM(AF52)</f>
        <v>48017</v>
      </c>
    </row>
    <row r="53" spans="1:43" s="16" customFormat="1" ht="25.5" hidden="1" customHeight="1" x14ac:dyDescent="0.3">
      <c r="A53" s="84"/>
      <c r="B53" s="111"/>
      <c r="C53" s="111"/>
      <c r="D53" s="111"/>
      <c r="E53" s="111"/>
      <c r="F53" s="111"/>
      <c r="G53" s="112" t="s">
        <v>163</v>
      </c>
      <c r="H53" s="84"/>
      <c r="I53" s="84"/>
      <c r="J53" s="84"/>
      <c r="K53" s="84"/>
      <c r="L53" s="84"/>
      <c r="M53" s="84"/>
      <c r="N53" s="84"/>
      <c r="O53" s="20"/>
      <c r="P53" s="68"/>
      <c r="Q53" s="68"/>
      <c r="R53" s="84"/>
      <c r="S53" s="46">
        <v>130130</v>
      </c>
      <c r="T53" s="20"/>
      <c r="U53" s="68"/>
      <c r="V53" s="15"/>
      <c r="W53" s="15"/>
      <c r="Y53" s="46"/>
      <c r="Z53" s="46"/>
      <c r="AA53" s="46"/>
      <c r="AB53" s="46"/>
      <c r="AC53" s="46">
        <v>130130</v>
      </c>
      <c r="AD53" s="84"/>
      <c r="AE53" s="46">
        <v>573322</v>
      </c>
      <c r="AF53" s="46">
        <v>1178049</v>
      </c>
      <c r="AG53" s="46"/>
      <c r="AH53" s="46"/>
      <c r="AI53" s="12">
        <f t="shared" si="18"/>
        <v>1.0547772455967155</v>
      </c>
      <c r="AJ53" s="69">
        <f t="shared" si="19"/>
        <v>604727</v>
      </c>
      <c r="AK53" s="46"/>
      <c r="AL53" s="46"/>
      <c r="AM53" s="46"/>
      <c r="AN53" s="46"/>
      <c r="AO53" s="46"/>
      <c r="AP53" s="46"/>
      <c r="AQ53" s="46">
        <f>SUM(AF53)</f>
        <v>1178049</v>
      </c>
    </row>
    <row r="54" spans="1:43" ht="24.75" hidden="1" customHeight="1" x14ac:dyDescent="0.35">
      <c r="A54" s="360" t="s">
        <v>134</v>
      </c>
      <c r="B54" s="361"/>
      <c r="C54" s="361"/>
      <c r="D54" s="361"/>
      <c r="E54" s="361"/>
      <c r="F54" s="361"/>
      <c r="G54" s="362"/>
      <c r="H54" s="99">
        <f>SUM(H55:H63)</f>
        <v>4870697</v>
      </c>
      <c r="I54" s="99"/>
      <c r="J54" s="99">
        <f>SUM(J55:J63)</f>
        <v>4518960</v>
      </c>
      <c r="K54" s="99">
        <f>SUM(K55:K63)</f>
        <v>4558932.46</v>
      </c>
      <c r="L54" s="99">
        <f>SUM(L55:L63)</f>
        <v>4826386</v>
      </c>
      <c r="M54" s="99"/>
      <c r="N54" s="99">
        <f>SUM(N55:N63)</f>
        <v>4897900</v>
      </c>
      <c r="O54" s="100">
        <f t="shared" ref="O54:O67" si="20">N54/L54*1-1</f>
        <v>1.4817298077692165E-2</v>
      </c>
      <c r="P54" s="99">
        <f>N54-L54</f>
        <v>71514</v>
      </c>
      <c r="Q54" s="99"/>
      <c r="R54" s="99">
        <f>SUM(R55:R63)</f>
        <v>0</v>
      </c>
      <c r="S54" s="99">
        <f>SUM(S55:S63)</f>
        <v>5514915</v>
      </c>
      <c r="T54" s="100">
        <f>S54/N54*1-1</f>
        <v>0.1259754180363013</v>
      </c>
      <c r="U54" s="99">
        <f t="shared" ref="U54:U59" si="21">S54-N54</f>
        <v>617015</v>
      </c>
      <c r="V54" s="101">
        <f>SUM(V55:V63)</f>
        <v>0</v>
      </c>
      <c r="W54" s="101">
        <f>SUM(W55:W63)</f>
        <v>0</v>
      </c>
      <c r="X54" s="103"/>
      <c r="Y54" s="99">
        <f t="shared" ref="Y54:AE54" si="22">SUM(Y55:Y63)</f>
        <v>0</v>
      </c>
      <c r="Z54" s="99">
        <f t="shared" si="22"/>
        <v>0</v>
      </c>
      <c r="AA54" s="99">
        <f t="shared" si="22"/>
        <v>0</v>
      </c>
      <c r="AB54" s="99">
        <f t="shared" si="22"/>
        <v>5514915</v>
      </c>
      <c r="AC54" s="99">
        <f t="shared" si="22"/>
        <v>0</v>
      </c>
      <c r="AD54" s="99">
        <f t="shared" si="22"/>
        <v>5374593</v>
      </c>
      <c r="AE54" s="99">
        <f t="shared" si="22"/>
        <v>6162558</v>
      </c>
      <c r="AF54" s="99">
        <f t="shared" ref="AF54" si="23">SUM(AF55:AF63)</f>
        <v>7723871</v>
      </c>
      <c r="AG54" s="99"/>
      <c r="AH54" s="99"/>
      <c r="AI54" s="100">
        <f t="shared" si="18"/>
        <v>0.25335469459273252</v>
      </c>
      <c r="AJ54" s="99">
        <f t="shared" si="19"/>
        <v>1561313</v>
      </c>
      <c r="AK54" s="99">
        <f>SUM(AK55:AK63)</f>
        <v>0</v>
      </c>
      <c r="AL54" s="99"/>
      <c r="AM54" s="99"/>
      <c r="AN54" s="99">
        <f>SUM(AN55:AN63)</f>
        <v>0</v>
      </c>
      <c r="AO54" s="99">
        <f>SUM(AO55:AO63)</f>
        <v>0</v>
      </c>
      <c r="AP54" s="99">
        <f>SUM(AP55:AP63)</f>
        <v>7723871</v>
      </c>
      <c r="AQ54" s="99">
        <f>SUM(AQ55:AQ63)</f>
        <v>0</v>
      </c>
    </row>
    <row r="55" spans="1:43" ht="23.25" hidden="1" customHeight="1" x14ac:dyDescent="0.35">
      <c r="A55" s="3"/>
      <c r="B55" s="3"/>
      <c r="C55" s="3"/>
      <c r="D55" s="3"/>
      <c r="E55" s="3"/>
      <c r="F55" s="3"/>
      <c r="G55" s="28" t="s">
        <v>135</v>
      </c>
      <c r="H55" s="3">
        <v>1270256</v>
      </c>
      <c r="I55" s="3"/>
      <c r="J55" s="3">
        <v>851702</v>
      </c>
      <c r="K55" s="69">
        <v>830384.94</v>
      </c>
      <c r="L55" s="13">
        <v>925830</v>
      </c>
      <c r="M55" s="13"/>
      <c r="N55" s="33">
        <v>963700</v>
      </c>
      <c r="O55" s="12">
        <f t="shared" si="20"/>
        <v>4.090383763757921E-2</v>
      </c>
      <c r="P55" s="3">
        <f>N55-L55</f>
        <v>37870</v>
      </c>
      <c r="Q55" s="3"/>
      <c r="R55" s="33"/>
      <c r="S55" s="33">
        <v>988792</v>
      </c>
      <c r="T55" s="37">
        <f t="shared" ref="T55:T65" si="24">S55/N55*1-1</f>
        <v>2.6037148490194006E-2</v>
      </c>
      <c r="U55" s="69">
        <f t="shared" si="21"/>
        <v>25092</v>
      </c>
      <c r="V55" s="33"/>
      <c r="W55" s="33"/>
      <c r="Y55" s="33"/>
      <c r="Z55" s="33"/>
      <c r="AA55" s="33"/>
      <c r="AB55" s="33">
        <v>988792</v>
      </c>
      <c r="AC55" s="33"/>
      <c r="AD55" s="33">
        <v>1276681</v>
      </c>
      <c r="AE55" s="33">
        <v>1118202</v>
      </c>
      <c r="AF55" s="33">
        <v>1490326</v>
      </c>
      <c r="AG55" s="33"/>
      <c r="AH55" s="33"/>
      <c r="AI55" s="12">
        <f t="shared" si="18"/>
        <v>0.33278781472399444</v>
      </c>
      <c r="AJ55" s="69">
        <f t="shared" si="19"/>
        <v>372124</v>
      </c>
      <c r="AK55" s="33"/>
      <c r="AL55" s="33"/>
      <c r="AM55" s="33"/>
      <c r="AN55" s="33"/>
      <c r="AO55" s="33"/>
      <c r="AP55" s="33">
        <f t="shared" ref="AP55:AP63" si="25">SUM(AF55)</f>
        <v>1490326</v>
      </c>
      <c r="AQ55" s="33"/>
    </row>
    <row r="56" spans="1:43" ht="28.4" hidden="1" customHeight="1" x14ac:dyDescent="0.35">
      <c r="A56" s="3"/>
      <c r="B56" s="3"/>
      <c r="C56" s="3"/>
      <c r="D56" s="3"/>
      <c r="E56" s="3"/>
      <c r="F56" s="3"/>
      <c r="G56" s="29" t="s">
        <v>173</v>
      </c>
      <c r="H56" s="3">
        <v>3578835</v>
      </c>
      <c r="I56" s="3"/>
      <c r="J56" s="3">
        <v>3643232</v>
      </c>
      <c r="K56" s="70">
        <v>3704230.47</v>
      </c>
      <c r="L56" s="13">
        <v>3850000</v>
      </c>
      <c r="M56" s="13"/>
      <c r="N56" s="13">
        <v>3905000</v>
      </c>
      <c r="O56" s="12">
        <f t="shared" si="20"/>
        <v>1.4285714285714235E-2</v>
      </c>
      <c r="P56" s="3">
        <f>N56-L56</f>
        <v>55000</v>
      </c>
      <c r="Q56" s="3"/>
      <c r="R56" s="13"/>
      <c r="S56" s="13">
        <v>4053400</v>
      </c>
      <c r="T56" s="37">
        <f t="shared" si="24"/>
        <v>3.8002560819462294E-2</v>
      </c>
      <c r="U56" s="69">
        <f t="shared" si="21"/>
        <v>148400</v>
      </c>
      <c r="V56" s="13"/>
      <c r="W56" s="13"/>
      <c r="Y56" s="13"/>
      <c r="Z56" s="13"/>
      <c r="AA56" s="13"/>
      <c r="AB56" s="13">
        <v>4053400</v>
      </c>
      <c r="AC56" s="13"/>
      <c r="AD56" s="13">
        <v>4073712</v>
      </c>
      <c r="AE56" s="13">
        <v>4356200</v>
      </c>
      <c r="AF56" s="13">
        <v>5010500</v>
      </c>
      <c r="AG56" s="13"/>
      <c r="AH56" s="13"/>
      <c r="AI56" s="12">
        <f t="shared" si="18"/>
        <v>0.15019971534823928</v>
      </c>
      <c r="AJ56" s="69">
        <f t="shared" si="19"/>
        <v>654300</v>
      </c>
      <c r="AK56" s="13"/>
      <c r="AL56" s="13"/>
      <c r="AM56" s="13"/>
      <c r="AN56" s="13"/>
      <c r="AO56" s="13"/>
      <c r="AP56" s="33">
        <f t="shared" si="25"/>
        <v>5010500</v>
      </c>
      <c r="AQ56" s="13"/>
    </row>
    <row r="57" spans="1:43" ht="30" hidden="1" customHeight="1" x14ac:dyDescent="0.35">
      <c r="A57" s="3"/>
      <c r="B57" s="3"/>
      <c r="C57" s="3"/>
      <c r="D57" s="3"/>
      <c r="E57" s="3"/>
      <c r="F57" s="3"/>
      <c r="G57" s="28" t="s">
        <v>136</v>
      </c>
      <c r="H57" s="3">
        <v>21606</v>
      </c>
      <c r="I57" s="3"/>
      <c r="J57" s="3">
        <v>23476</v>
      </c>
      <c r="K57" s="69">
        <v>23476</v>
      </c>
      <c r="L57" s="13">
        <v>28000</v>
      </c>
      <c r="M57" s="13"/>
      <c r="N57" s="13">
        <v>29200</v>
      </c>
      <c r="O57" s="12">
        <f t="shared" si="20"/>
        <v>4.2857142857142927E-2</v>
      </c>
      <c r="P57" s="3">
        <f>N57-L57</f>
        <v>1200</v>
      </c>
      <c r="Q57" s="3"/>
      <c r="R57" s="13"/>
      <c r="S57" s="13">
        <v>27900</v>
      </c>
      <c r="T57" s="37">
        <f t="shared" si="24"/>
        <v>-4.4520547945205435E-2</v>
      </c>
      <c r="U57" s="69">
        <f t="shared" si="21"/>
        <v>-1300</v>
      </c>
      <c r="V57" s="13"/>
      <c r="W57" s="13"/>
      <c r="Y57" s="13"/>
      <c r="Z57" s="13"/>
      <c r="AA57" s="13"/>
      <c r="AB57" s="13">
        <v>27900</v>
      </c>
      <c r="AC57" s="13"/>
      <c r="AD57" s="13">
        <v>24200</v>
      </c>
      <c r="AE57" s="13">
        <v>24300</v>
      </c>
      <c r="AF57" s="13">
        <v>22900</v>
      </c>
      <c r="AG57" s="13"/>
      <c r="AH57" s="13"/>
      <c r="AI57" s="12">
        <f t="shared" si="18"/>
        <v>-5.7613168724279795E-2</v>
      </c>
      <c r="AJ57" s="69">
        <f t="shared" si="19"/>
        <v>-1400</v>
      </c>
      <c r="AK57" s="13"/>
      <c r="AL57" s="13"/>
      <c r="AM57" s="13"/>
      <c r="AN57" s="13"/>
      <c r="AO57" s="13"/>
      <c r="AP57" s="33">
        <f t="shared" si="25"/>
        <v>22900</v>
      </c>
      <c r="AQ57" s="13"/>
    </row>
    <row r="58" spans="1:43" ht="30" hidden="1" customHeight="1" x14ac:dyDescent="0.35">
      <c r="A58" s="3"/>
      <c r="B58" s="3"/>
      <c r="C58" s="3"/>
      <c r="D58" s="3"/>
      <c r="E58" s="3"/>
      <c r="F58" s="3"/>
      <c r="G58" s="28" t="s">
        <v>137</v>
      </c>
      <c r="H58" s="3"/>
      <c r="I58" s="3"/>
      <c r="J58" s="3"/>
      <c r="K58" s="69"/>
      <c r="L58" s="13"/>
      <c r="M58" s="13"/>
      <c r="N58" s="13"/>
      <c r="O58" s="12"/>
      <c r="P58" s="3"/>
      <c r="Q58" s="3"/>
      <c r="R58" s="13"/>
      <c r="S58" s="13">
        <v>13623</v>
      </c>
      <c r="T58" s="37"/>
      <c r="U58" s="69">
        <f t="shared" si="21"/>
        <v>13623</v>
      </c>
      <c r="V58" s="13"/>
      <c r="W58" s="13"/>
      <c r="Y58" s="13"/>
      <c r="Z58" s="13"/>
      <c r="AA58" s="13"/>
      <c r="AB58" s="13">
        <v>13623</v>
      </c>
      <c r="AC58" s="13"/>
      <c r="AD58" s="13"/>
      <c r="AE58" s="13"/>
      <c r="AF58" s="13">
        <v>18500</v>
      </c>
      <c r="AG58" s="13"/>
      <c r="AH58" s="13"/>
      <c r="AI58" s="12"/>
      <c r="AJ58" s="69">
        <f t="shared" si="19"/>
        <v>18500</v>
      </c>
      <c r="AK58" s="13"/>
      <c r="AL58" s="13"/>
      <c r="AM58" s="13"/>
      <c r="AN58" s="13"/>
      <c r="AO58" s="13"/>
      <c r="AP58" s="33">
        <f t="shared" si="25"/>
        <v>18500</v>
      </c>
      <c r="AQ58" s="13"/>
    </row>
    <row r="59" spans="1:43" ht="30" hidden="1" customHeight="1" x14ac:dyDescent="0.35">
      <c r="A59" s="3"/>
      <c r="B59" s="3"/>
      <c r="C59" s="3"/>
      <c r="D59" s="3"/>
      <c r="E59" s="3"/>
      <c r="F59" s="3"/>
      <c r="G59" s="28" t="s">
        <v>138</v>
      </c>
      <c r="H59" s="3"/>
      <c r="I59" s="3"/>
      <c r="J59" s="3"/>
      <c r="K59" s="69"/>
      <c r="L59" s="13"/>
      <c r="M59" s="13"/>
      <c r="N59" s="13"/>
      <c r="O59" s="12"/>
      <c r="P59" s="3"/>
      <c r="Q59" s="3"/>
      <c r="R59" s="13"/>
      <c r="S59" s="13">
        <v>431200</v>
      </c>
      <c r="T59" s="37"/>
      <c r="U59" s="69">
        <f t="shared" si="21"/>
        <v>431200</v>
      </c>
      <c r="V59" s="13"/>
      <c r="W59" s="13"/>
      <c r="Y59" s="13"/>
      <c r="Z59" s="13"/>
      <c r="AA59" s="13"/>
      <c r="AB59" s="13">
        <v>431200</v>
      </c>
      <c r="AC59" s="13"/>
      <c r="AD59" s="13"/>
      <c r="AE59" s="13">
        <v>663856</v>
      </c>
      <c r="AF59" s="13">
        <v>334645</v>
      </c>
      <c r="AG59" s="13"/>
      <c r="AH59" s="13"/>
      <c r="AI59" s="12">
        <f>AF59/AE59*1-1</f>
        <v>-0.49590724494468685</v>
      </c>
      <c r="AJ59" s="69">
        <f t="shared" si="19"/>
        <v>-329211</v>
      </c>
      <c r="AK59" s="13"/>
      <c r="AL59" s="13"/>
      <c r="AM59" s="13"/>
      <c r="AN59" s="13"/>
      <c r="AO59" s="13"/>
      <c r="AP59" s="33">
        <f t="shared" si="25"/>
        <v>334645</v>
      </c>
      <c r="AQ59" s="13"/>
    </row>
    <row r="60" spans="1:43" ht="27.75" hidden="1" customHeight="1" x14ac:dyDescent="0.35">
      <c r="A60" s="3"/>
      <c r="B60" s="3"/>
      <c r="C60" s="3"/>
      <c r="D60" s="3"/>
      <c r="E60" s="3"/>
      <c r="F60" s="3"/>
      <c r="G60" s="28" t="s">
        <v>139</v>
      </c>
      <c r="H60" s="3"/>
      <c r="I60" s="3"/>
      <c r="J60" s="3">
        <v>550</v>
      </c>
      <c r="K60" s="69">
        <v>841.05</v>
      </c>
      <c r="L60" s="3"/>
      <c r="M60" s="3"/>
      <c r="N60" s="13"/>
      <c r="O60" s="21" t="e">
        <f t="shared" si="20"/>
        <v>#DIV/0!</v>
      </c>
      <c r="P60" s="3">
        <f>N60-L60</f>
        <v>0</v>
      </c>
      <c r="Q60" s="3"/>
      <c r="R60" s="13"/>
      <c r="S60" s="13"/>
      <c r="T60" s="37"/>
      <c r="U60" s="3">
        <f t="shared" ref="U60:U67" si="26">S60-Q60</f>
        <v>0</v>
      </c>
      <c r="V60" s="13"/>
      <c r="W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/>
      <c r="AJ60" s="69">
        <f t="shared" si="19"/>
        <v>0</v>
      </c>
      <c r="AK60" s="13"/>
      <c r="AL60" s="13"/>
      <c r="AM60" s="13"/>
      <c r="AN60" s="13"/>
      <c r="AO60" s="13"/>
      <c r="AP60" s="33">
        <f t="shared" si="25"/>
        <v>0</v>
      </c>
      <c r="AQ60" s="13"/>
    </row>
    <row r="61" spans="1:43" hidden="1" x14ac:dyDescent="0.35">
      <c r="A61" s="3"/>
      <c r="B61" s="3"/>
      <c r="C61" s="3"/>
      <c r="D61" s="3"/>
      <c r="E61" s="3"/>
      <c r="F61" s="3"/>
      <c r="G61" s="28" t="s">
        <v>97</v>
      </c>
      <c r="H61" s="3"/>
      <c r="I61" s="3"/>
      <c r="J61" s="3"/>
      <c r="K61" s="69"/>
      <c r="L61" s="13">
        <v>22556</v>
      </c>
      <c r="M61" s="13"/>
      <c r="N61" s="13"/>
      <c r="O61" s="12"/>
      <c r="P61" s="3">
        <f>N61-L61</f>
        <v>-22556</v>
      </c>
      <c r="Q61" s="3"/>
      <c r="R61" s="13"/>
      <c r="S61" s="13"/>
      <c r="T61" s="37"/>
      <c r="U61" s="3">
        <f t="shared" ref="U61:U62" si="27">S61-Q61</f>
        <v>0</v>
      </c>
      <c r="V61" s="13"/>
      <c r="W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37"/>
      <c r="AJ61" s="69">
        <f>AE61-S61</f>
        <v>0</v>
      </c>
      <c r="AK61" s="13"/>
      <c r="AL61" s="13"/>
      <c r="AM61" s="13"/>
      <c r="AN61" s="13"/>
      <c r="AO61" s="13"/>
      <c r="AP61" s="33">
        <f t="shared" si="25"/>
        <v>0</v>
      </c>
      <c r="AQ61" s="13"/>
    </row>
    <row r="62" spans="1:43" hidden="1" x14ac:dyDescent="0.35">
      <c r="A62" s="3"/>
      <c r="B62" s="3"/>
      <c r="C62" s="3"/>
      <c r="D62" s="3"/>
      <c r="E62" s="3"/>
      <c r="F62" s="3"/>
      <c r="G62" s="28" t="s">
        <v>207</v>
      </c>
      <c r="H62" s="3"/>
      <c r="I62" s="3"/>
      <c r="J62" s="3"/>
      <c r="K62" s="69"/>
      <c r="L62" s="13"/>
      <c r="M62" s="13"/>
      <c r="N62" s="13"/>
      <c r="O62" s="12"/>
      <c r="P62" s="3">
        <f>N62-L62</f>
        <v>0</v>
      </c>
      <c r="Q62" s="3"/>
      <c r="R62" s="13"/>
      <c r="S62" s="13"/>
      <c r="T62" s="37"/>
      <c r="U62" s="3">
        <f t="shared" si="27"/>
        <v>0</v>
      </c>
      <c r="V62" s="13"/>
      <c r="W62" s="13"/>
      <c r="Y62" s="13"/>
      <c r="Z62" s="13"/>
      <c r="AA62" s="13"/>
      <c r="AB62" s="13"/>
      <c r="AC62" s="13"/>
      <c r="AD62" s="13"/>
      <c r="AE62" s="13"/>
      <c r="AF62" s="13">
        <v>615000</v>
      </c>
      <c r="AG62" s="13"/>
      <c r="AH62" s="13"/>
      <c r="AI62" s="12"/>
      <c r="AJ62" s="69">
        <f t="shared" ref="AJ62:AJ69" si="28">AF62-AE62</f>
        <v>615000</v>
      </c>
      <c r="AK62" s="13"/>
      <c r="AL62" s="13"/>
      <c r="AM62" s="13"/>
      <c r="AN62" s="13"/>
      <c r="AO62" s="13"/>
      <c r="AP62" s="33">
        <f t="shared" si="25"/>
        <v>615000</v>
      </c>
      <c r="AQ62" s="13"/>
    </row>
    <row r="63" spans="1:43" ht="24.5" hidden="1" x14ac:dyDescent="0.35">
      <c r="A63" s="3"/>
      <c r="B63" s="3"/>
      <c r="C63" s="3"/>
      <c r="D63" s="3"/>
      <c r="E63" s="3"/>
      <c r="F63" s="3"/>
      <c r="G63" s="28" t="s">
        <v>218</v>
      </c>
      <c r="H63" s="3"/>
      <c r="I63" s="3"/>
      <c r="J63" s="3"/>
      <c r="K63" s="69"/>
      <c r="L63" s="13"/>
      <c r="M63" s="13"/>
      <c r="N63" s="13"/>
      <c r="O63" s="12"/>
      <c r="P63" s="3">
        <f>N63-L63</f>
        <v>0</v>
      </c>
      <c r="Q63" s="3"/>
      <c r="R63" s="13"/>
      <c r="S63" s="13"/>
      <c r="T63" s="37"/>
      <c r="U63" s="3">
        <f t="shared" si="26"/>
        <v>0</v>
      </c>
      <c r="V63" s="13"/>
      <c r="W63" s="13"/>
      <c r="Y63" s="13"/>
      <c r="Z63" s="13"/>
      <c r="AA63" s="13"/>
      <c r="AB63" s="13"/>
      <c r="AC63" s="13"/>
      <c r="AD63" s="13"/>
      <c r="AE63" s="13"/>
      <c r="AF63" s="13">
        <v>232000</v>
      </c>
      <c r="AG63" s="13"/>
      <c r="AH63" s="13"/>
      <c r="AI63" s="12"/>
      <c r="AJ63" s="69">
        <f t="shared" si="28"/>
        <v>232000</v>
      </c>
      <c r="AK63" s="13"/>
      <c r="AL63" s="13"/>
      <c r="AM63" s="13"/>
      <c r="AN63" s="13"/>
      <c r="AO63" s="13"/>
      <c r="AP63" s="33">
        <f t="shared" si="25"/>
        <v>232000</v>
      </c>
      <c r="AQ63" s="13"/>
    </row>
    <row r="64" spans="1:43" ht="26.5" hidden="1" customHeight="1" x14ac:dyDescent="0.35">
      <c r="A64" s="104" t="s">
        <v>140</v>
      </c>
      <c r="B64" s="104"/>
      <c r="C64" s="104"/>
      <c r="D64" s="104"/>
      <c r="E64" s="104"/>
      <c r="F64" s="104"/>
      <c r="G64" s="108"/>
      <c r="H64" s="104">
        <f>SUM(H65)</f>
        <v>0</v>
      </c>
      <c r="I64" s="104"/>
      <c r="J64" s="104">
        <f>SUM(J65:J67)</f>
        <v>289620</v>
      </c>
      <c r="K64" s="104">
        <f>SUM(K65)</f>
        <v>0</v>
      </c>
      <c r="L64" s="104">
        <f t="shared" ref="L64:S64" si="29">SUM(L65:L67)</f>
        <v>751800</v>
      </c>
      <c r="M64" s="104">
        <f t="shared" si="29"/>
        <v>0</v>
      </c>
      <c r="N64" s="104">
        <f t="shared" si="29"/>
        <v>43800</v>
      </c>
      <c r="O64" s="104">
        <f t="shared" si="29"/>
        <v>-1</v>
      </c>
      <c r="P64" s="104">
        <f t="shared" si="29"/>
        <v>-751800</v>
      </c>
      <c r="Q64" s="104">
        <f t="shared" si="29"/>
        <v>0</v>
      </c>
      <c r="R64" s="104">
        <f t="shared" si="29"/>
        <v>43800</v>
      </c>
      <c r="S64" s="104">
        <f t="shared" si="29"/>
        <v>0</v>
      </c>
      <c r="T64" s="109">
        <f>S64/N64*1-1</f>
        <v>-1</v>
      </c>
      <c r="U64" s="106">
        <f>S64-N64</f>
        <v>-43800</v>
      </c>
      <c r="V64" s="104">
        <f>SUM(V65)</f>
        <v>43800</v>
      </c>
      <c r="W64" s="104">
        <f>SUM(W65)</f>
        <v>43800</v>
      </c>
      <c r="X64" s="110"/>
      <c r="Y64" s="104">
        <f t="shared" ref="Y64:AE64" si="30">SUM(Y65:Y67)</f>
        <v>0</v>
      </c>
      <c r="Z64" s="104">
        <f t="shared" si="30"/>
        <v>0</v>
      </c>
      <c r="AA64" s="104">
        <f t="shared" si="30"/>
        <v>0</v>
      </c>
      <c r="AB64" s="104">
        <f t="shared" si="30"/>
        <v>0</v>
      </c>
      <c r="AC64" s="104">
        <f t="shared" si="30"/>
        <v>0</v>
      </c>
      <c r="AD64" s="104">
        <f t="shared" si="30"/>
        <v>0</v>
      </c>
      <c r="AE64" s="104">
        <f t="shared" si="30"/>
        <v>49700</v>
      </c>
      <c r="AF64" s="104">
        <f t="shared" ref="AF64" si="31">SUM(AF65:AF67)</f>
        <v>898800</v>
      </c>
      <c r="AG64" s="104"/>
      <c r="AH64" s="104"/>
      <c r="AI64" s="136">
        <f>AF64/AE64*1-1</f>
        <v>17.08450704225352</v>
      </c>
      <c r="AJ64" s="106">
        <f t="shared" si="28"/>
        <v>849100</v>
      </c>
      <c r="AK64" s="104">
        <f>SUM(AK65:AK67)</f>
        <v>0</v>
      </c>
      <c r="AL64" s="104"/>
      <c r="AM64" s="104"/>
      <c r="AN64" s="104">
        <f>SUM(AN65:AN67)</f>
        <v>0</v>
      </c>
      <c r="AO64" s="104">
        <f>SUM(AO65:AO67)</f>
        <v>0</v>
      </c>
      <c r="AP64" s="104">
        <f>SUM(AP65:AP67)</f>
        <v>898800</v>
      </c>
      <c r="AQ64" s="104">
        <f>SUM(AQ65:AQ67)</f>
        <v>0</v>
      </c>
    </row>
    <row r="65" spans="1:43" ht="30" hidden="1" customHeight="1" x14ac:dyDescent="0.35">
      <c r="A65" s="17"/>
      <c r="B65" s="17"/>
      <c r="C65" s="17"/>
      <c r="D65" s="17"/>
      <c r="E65" s="17"/>
      <c r="F65" s="17"/>
      <c r="G65" s="28" t="s">
        <v>141</v>
      </c>
      <c r="H65" s="3"/>
      <c r="I65" s="3"/>
      <c r="J65" s="3"/>
      <c r="K65" s="69"/>
      <c r="L65" s="105"/>
      <c r="M65" s="105"/>
      <c r="N65" s="105">
        <v>43800</v>
      </c>
      <c r="O65" s="12"/>
      <c r="P65" s="69"/>
      <c r="Q65" s="69"/>
      <c r="R65" s="105">
        <v>43800</v>
      </c>
      <c r="S65" s="105"/>
      <c r="T65" s="12">
        <f t="shared" si="24"/>
        <v>-1</v>
      </c>
      <c r="U65" s="69">
        <f>S65-N65</f>
        <v>-43800</v>
      </c>
      <c r="V65" s="19">
        <v>43800</v>
      </c>
      <c r="W65" s="19">
        <v>43800</v>
      </c>
      <c r="Y65" s="19"/>
      <c r="Z65" s="19"/>
      <c r="AA65" s="19"/>
      <c r="AB65" s="19"/>
      <c r="AC65" s="19"/>
      <c r="AD65" s="105"/>
      <c r="AE65" s="105">
        <v>49700</v>
      </c>
      <c r="AF65" s="105">
        <v>53100</v>
      </c>
      <c r="AG65" s="105"/>
      <c r="AH65" s="105"/>
      <c r="AI65" s="12">
        <f>AF65/AE65*1-1</f>
        <v>6.8410462776659964E-2</v>
      </c>
      <c r="AJ65" s="69">
        <f t="shared" si="28"/>
        <v>3400</v>
      </c>
      <c r="AK65" s="19"/>
      <c r="AL65" s="19"/>
      <c r="AM65" s="19"/>
      <c r="AN65" s="19"/>
      <c r="AO65" s="19"/>
      <c r="AP65" s="33">
        <f>SUM(AF65)</f>
        <v>53100</v>
      </c>
      <c r="AQ65" s="19"/>
    </row>
    <row r="66" spans="1:43" ht="40.4" hidden="1" customHeight="1" x14ac:dyDescent="0.35">
      <c r="A66" s="17"/>
      <c r="B66" s="9"/>
      <c r="C66" s="9"/>
      <c r="D66" s="9"/>
      <c r="E66" s="9"/>
      <c r="F66" s="9"/>
      <c r="G66" s="28" t="s">
        <v>142</v>
      </c>
      <c r="H66" s="3"/>
      <c r="I66" s="3"/>
      <c r="J66" s="3"/>
      <c r="K66" s="68">
        <v>568874.97</v>
      </c>
      <c r="L66" s="105">
        <v>451800</v>
      </c>
      <c r="M66" s="105"/>
      <c r="N66" s="105"/>
      <c r="O66" s="12"/>
      <c r="P66" s="105">
        <f>N66-L66</f>
        <v>-451800</v>
      </c>
      <c r="Q66" s="105"/>
      <c r="R66" s="105"/>
      <c r="S66" s="105"/>
      <c r="T66" s="12"/>
      <c r="U66" s="105">
        <f t="shared" si="26"/>
        <v>0</v>
      </c>
      <c r="V66" s="19"/>
      <c r="W66" s="19"/>
      <c r="X66" s="107"/>
      <c r="Y66" s="19"/>
      <c r="Z66" s="19"/>
      <c r="AA66" s="19"/>
      <c r="AB66" s="19"/>
      <c r="AC66" s="19"/>
      <c r="AD66" s="105"/>
      <c r="AE66" s="105"/>
      <c r="AF66" s="105">
        <v>845700</v>
      </c>
      <c r="AG66" s="105"/>
      <c r="AH66" s="105"/>
      <c r="AI66" s="12"/>
      <c r="AJ66" s="69">
        <f t="shared" si="28"/>
        <v>845700</v>
      </c>
      <c r="AK66" s="19"/>
      <c r="AL66" s="19"/>
      <c r="AM66" s="19"/>
      <c r="AN66" s="19"/>
      <c r="AO66" s="19"/>
      <c r="AP66" s="33">
        <f>SUM(AF66)</f>
        <v>845700</v>
      </c>
      <c r="AQ66" s="19"/>
    </row>
    <row r="67" spans="1:43" ht="23.5" hidden="1" customHeight="1" x14ac:dyDescent="0.35">
      <c r="A67" s="3"/>
      <c r="B67" s="3"/>
      <c r="C67" s="3"/>
      <c r="D67" s="3"/>
      <c r="E67" s="3"/>
      <c r="F67" s="3"/>
      <c r="G67" s="4" t="s">
        <v>143</v>
      </c>
      <c r="H67" s="3">
        <v>196942</v>
      </c>
      <c r="I67" s="3"/>
      <c r="J67" s="3">
        <v>289620</v>
      </c>
      <c r="K67" s="3">
        <v>289082.69</v>
      </c>
      <c r="L67" s="105">
        <v>300000</v>
      </c>
      <c r="M67" s="105"/>
      <c r="N67" s="105"/>
      <c r="O67" s="12">
        <f t="shared" si="20"/>
        <v>-1</v>
      </c>
      <c r="P67" s="105">
        <f>N67-L67</f>
        <v>-300000</v>
      </c>
      <c r="Q67" s="105"/>
      <c r="R67" s="105"/>
      <c r="S67" s="105"/>
      <c r="T67" s="12"/>
      <c r="U67" s="105">
        <f t="shared" si="26"/>
        <v>0</v>
      </c>
      <c r="V67" s="13"/>
      <c r="W67" s="13"/>
      <c r="X67" s="107"/>
      <c r="Y67" s="13"/>
      <c r="Z67" s="13"/>
      <c r="AA67" s="13"/>
      <c r="AB67" s="13"/>
      <c r="AC67" s="13"/>
      <c r="AD67" s="105"/>
      <c r="AE67" s="105"/>
      <c r="AF67" s="105"/>
      <c r="AG67" s="105"/>
      <c r="AH67" s="105"/>
      <c r="AI67" s="12"/>
      <c r="AJ67" s="69">
        <f t="shared" si="28"/>
        <v>0</v>
      </c>
      <c r="AK67" s="13"/>
      <c r="AL67" s="13"/>
      <c r="AM67" s="13"/>
      <c r="AN67" s="13"/>
      <c r="AO67" s="13"/>
      <c r="AP67" s="33">
        <f>SUM(AF67)</f>
        <v>0</v>
      </c>
      <c r="AQ67" s="13"/>
    </row>
    <row r="68" spans="1:43" ht="33" hidden="1" customHeight="1" x14ac:dyDescent="0.35">
      <c r="A68" s="44" t="s">
        <v>144</v>
      </c>
      <c r="B68" s="44"/>
      <c r="C68" s="44"/>
      <c r="D68" s="44"/>
      <c r="E68" s="44"/>
      <c r="F68" s="44"/>
      <c r="G68" s="44"/>
      <c r="H68" s="44" t="e">
        <f>SUM(H50,H54,#REF!)</f>
        <v>#REF!</v>
      </c>
      <c r="I68" s="44"/>
      <c r="J68" s="44">
        <f>SUM(J69,J74,J80,J86)</f>
        <v>937210</v>
      </c>
      <c r="K68" s="44"/>
      <c r="L68" s="44">
        <f t="shared" ref="L68:AE68" si="32">SUM(L69,L74,L80,L86)</f>
        <v>961970</v>
      </c>
      <c r="M68" s="44">
        <f t="shared" si="32"/>
        <v>1043258.52</v>
      </c>
      <c r="N68" s="44">
        <f t="shared" si="32"/>
        <v>1013400</v>
      </c>
      <c r="O68" s="44">
        <f t="shared" si="32"/>
        <v>-0.44564517111890245</v>
      </c>
      <c r="P68" s="44">
        <f t="shared" si="32"/>
        <v>51430</v>
      </c>
      <c r="Q68" s="44">
        <f t="shared" si="32"/>
        <v>660612.47</v>
      </c>
      <c r="R68" s="44">
        <f t="shared" si="32"/>
        <v>1980650</v>
      </c>
      <c r="S68" s="44">
        <f t="shared" si="32"/>
        <v>1711000</v>
      </c>
      <c r="T68" s="44">
        <f t="shared" si="32"/>
        <v>199.55539038523662</v>
      </c>
      <c r="U68" s="44">
        <f t="shared" si="32"/>
        <v>697600</v>
      </c>
      <c r="V68" s="44">
        <f t="shared" si="32"/>
        <v>2182768</v>
      </c>
      <c r="W68" s="44">
        <f t="shared" si="32"/>
        <v>2179328</v>
      </c>
      <c r="X68" s="44">
        <f t="shared" si="32"/>
        <v>1576000</v>
      </c>
      <c r="Y68" s="44">
        <f t="shared" si="32"/>
        <v>627500</v>
      </c>
      <c r="Z68" s="44">
        <f t="shared" si="32"/>
        <v>1043500</v>
      </c>
      <c r="AA68" s="44">
        <f t="shared" si="32"/>
        <v>40000</v>
      </c>
      <c r="AB68" s="44">
        <f t="shared" si="32"/>
        <v>0</v>
      </c>
      <c r="AC68" s="44">
        <f t="shared" si="32"/>
        <v>0</v>
      </c>
      <c r="AD68" s="44">
        <f t="shared" si="32"/>
        <v>1744493</v>
      </c>
      <c r="AE68" s="44">
        <f t="shared" si="32"/>
        <v>1845350</v>
      </c>
      <c r="AF68" s="44">
        <f t="shared" ref="AF68:AH68" si="33">SUM(AF69,AF74,AF80,AF86)</f>
        <v>1970300</v>
      </c>
      <c r="AG68" s="44">
        <f t="shared" ref="AG68" si="34">SUM(AG69,AG74,AG80,AG86)</f>
        <v>1762350</v>
      </c>
      <c r="AH68" s="44">
        <f t="shared" si="33"/>
        <v>1763000</v>
      </c>
      <c r="AI68" s="45">
        <f>AF68/AE68*1-1</f>
        <v>6.7710732381391026E-2</v>
      </c>
      <c r="AJ68" s="44">
        <f t="shared" si="28"/>
        <v>124950</v>
      </c>
      <c r="AK68" s="44">
        <f t="shared" ref="AK68:AQ68" si="35">SUM(AK69,AK74,AK80,AK86)</f>
        <v>654000</v>
      </c>
      <c r="AL68" s="44">
        <f t="shared" si="35"/>
        <v>0</v>
      </c>
      <c r="AM68" s="44">
        <f t="shared" si="35"/>
        <v>60000</v>
      </c>
      <c r="AN68" s="44">
        <f t="shared" si="35"/>
        <v>1012000</v>
      </c>
      <c r="AO68" s="44">
        <f t="shared" si="35"/>
        <v>37000</v>
      </c>
      <c r="AP68" s="44">
        <f t="shared" si="35"/>
        <v>0</v>
      </c>
      <c r="AQ68" s="44">
        <f t="shared" si="35"/>
        <v>0</v>
      </c>
    </row>
    <row r="69" spans="1:43" hidden="1" x14ac:dyDescent="0.35">
      <c r="A69" s="9" t="s">
        <v>145</v>
      </c>
      <c r="B69" s="9"/>
      <c r="C69" s="9"/>
      <c r="D69" s="9"/>
      <c r="E69" s="9"/>
      <c r="F69" s="9"/>
      <c r="G69" s="10" t="s">
        <v>13</v>
      </c>
      <c r="H69" s="9">
        <v>848297</v>
      </c>
      <c r="I69" s="9"/>
      <c r="J69" s="9">
        <v>887106</v>
      </c>
      <c r="K69" s="9"/>
      <c r="L69" s="9">
        <v>913840</v>
      </c>
      <c r="M69" s="9">
        <f>SUM(M70:M73)</f>
        <v>984109.15</v>
      </c>
      <c r="N69" s="15">
        <v>966400</v>
      </c>
      <c r="O69" s="11">
        <f>N69/L69*1-1</f>
        <v>5.7515538825177348E-2</v>
      </c>
      <c r="P69" s="9">
        <f>N69-L69</f>
        <v>52560</v>
      </c>
      <c r="Q69" s="9">
        <f>SUM(Q70:Q73)</f>
        <v>567938.82000000007</v>
      </c>
      <c r="R69" s="9">
        <v>968000</v>
      </c>
      <c r="S69" s="15">
        <v>1043500</v>
      </c>
      <c r="T69" s="11">
        <f>S69/N69*1-1</f>
        <v>7.9780629139072801E-2</v>
      </c>
      <c r="U69" s="9">
        <f>S69-N69</f>
        <v>77100</v>
      </c>
      <c r="V69" s="9">
        <f>SUM(V70:V73)</f>
        <v>969768</v>
      </c>
      <c r="W69" s="9">
        <f>SUM(W70:W73)</f>
        <v>973628</v>
      </c>
      <c r="X69" s="95">
        <v>968000</v>
      </c>
      <c r="Y69" s="15"/>
      <c r="Z69" s="15">
        <v>1043500</v>
      </c>
      <c r="AA69" s="15"/>
      <c r="AB69" s="15"/>
      <c r="AC69" s="15"/>
      <c r="AD69" s="9">
        <f>SUM(AD71:AD73)</f>
        <v>1127803</v>
      </c>
      <c r="AE69" s="9">
        <f>SUM(AE71:AE73)</f>
        <v>1168660</v>
      </c>
      <c r="AF69" s="15">
        <f>SUM(AF71:AF73)</f>
        <v>1240600</v>
      </c>
      <c r="AG69" s="15">
        <f>SUM(AG71:AG73)</f>
        <v>1012350</v>
      </c>
      <c r="AH69" s="15">
        <f>SUM(AH71:AH73)</f>
        <v>1012000</v>
      </c>
      <c r="AI69" s="20">
        <f>AF69/AE69*1-1</f>
        <v>6.1557681447127477E-2</v>
      </c>
      <c r="AJ69" s="68">
        <f t="shared" si="28"/>
        <v>71940</v>
      </c>
      <c r="AK69" s="15"/>
      <c r="AL69" s="15"/>
      <c r="AM69" s="15"/>
      <c r="AN69" s="15">
        <f>SUM(AH69)</f>
        <v>1012000</v>
      </c>
      <c r="AO69" s="15"/>
      <c r="AP69" s="15"/>
      <c r="AQ69" s="15"/>
    </row>
    <row r="70" spans="1:43" hidden="1" x14ac:dyDescent="0.35">
      <c r="A70" s="8"/>
      <c r="B70" s="8"/>
      <c r="C70" s="8"/>
      <c r="D70" s="8"/>
      <c r="E70" s="8"/>
      <c r="F70" s="8"/>
      <c r="G70" s="29" t="s">
        <v>58</v>
      </c>
      <c r="H70" s="8"/>
      <c r="I70" s="8"/>
      <c r="J70" s="8"/>
      <c r="K70" s="8"/>
      <c r="L70" s="8"/>
      <c r="M70" s="8"/>
      <c r="N70" s="46"/>
      <c r="O70" s="37"/>
      <c r="P70" s="8"/>
      <c r="Q70" s="8"/>
      <c r="R70" s="46"/>
      <c r="S70" s="46"/>
      <c r="T70" s="37"/>
      <c r="U70" s="8"/>
      <c r="V70" s="46"/>
      <c r="W70" s="46"/>
      <c r="X70" s="9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37"/>
      <c r="AJ70" s="8"/>
      <c r="AK70" s="46"/>
      <c r="AL70" s="46"/>
      <c r="AM70" s="46"/>
      <c r="AN70" s="46"/>
      <c r="AO70" s="46"/>
      <c r="AP70" s="46"/>
      <c r="AQ70" s="46"/>
    </row>
    <row r="71" spans="1:43" hidden="1" x14ac:dyDescent="0.35">
      <c r="A71" s="8"/>
      <c r="B71" s="8"/>
      <c r="C71" s="8"/>
      <c r="D71" s="8"/>
      <c r="E71" s="8"/>
      <c r="F71" s="8"/>
      <c r="G71" s="29" t="s">
        <v>70</v>
      </c>
      <c r="H71" s="8"/>
      <c r="I71" s="8"/>
      <c r="J71" s="8"/>
      <c r="K71" s="8"/>
      <c r="L71" s="8"/>
      <c r="M71" s="8">
        <v>176411.11</v>
      </c>
      <c r="N71" s="46"/>
      <c r="O71" s="37"/>
      <c r="P71" s="8"/>
      <c r="Q71" s="8">
        <v>114047.88</v>
      </c>
      <c r="R71" s="46">
        <v>153566</v>
      </c>
      <c r="S71" s="46">
        <v>199673</v>
      </c>
      <c r="T71" s="37"/>
      <c r="U71" s="8"/>
      <c r="V71" s="46">
        <v>154566</v>
      </c>
      <c r="W71" s="46">
        <v>156566</v>
      </c>
      <c r="X71" s="96"/>
      <c r="Y71" s="46"/>
      <c r="Z71" s="46"/>
      <c r="AA71" s="46"/>
      <c r="AB71" s="46"/>
      <c r="AC71" s="46"/>
      <c r="AD71" s="46">
        <v>210713</v>
      </c>
      <c r="AE71" s="46">
        <v>244070</v>
      </c>
      <c r="AF71" s="46">
        <v>193600</v>
      </c>
      <c r="AG71" s="46">
        <v>164310</v>
      </c>
      <c r="AH71" s="46">
        <v>164300</v>
      </c>
      <c r="AI71" s="12">
        <f>AF71/AE71*1-1</f>
        <v>-0.2067849387470807</v>
      </c>
      <c r="AJ71" s="69">
        <f>AF71-AE71</f>
        <v>-50470</v>
      </c>
      <c r="AK71" s="46"/>
      <c r="AL71" s="46"/>
      <c r="AM71" s="46"/>
      <c r="AN71" s="46"/>
      <c r="AO71" s="46"/>
      <c r="AP71" s="46"/>
      <c r="AQ71" s="46"/>
    </row>
    <row r="72" spans="1:43" hidden="1" x14ac:dyDescent="0.35">
      <c r="A72" s="8"/>
      <c r="B72" s="8"/>
      <c r="C72" s="8"/>
      <c r="D72" s="8"/>
      <c r="E72" s="8"/>
      <c r="F72" s="8"/>
      <c r="G72" s="29" t="s">
        <v>71</v>
      </c>
      <c r="H72" s="8"/>
      <c r="I72" s="8"/>
      <c r="J72" s="8"/>
      <c r="K72" s="8"/>
      <c r="L72" s="8"/>
      <c r="M72" s="8">
        <v>101555.5</v>
      </c>
      <c r="N72" s="46"/>
      <c r="O72" s="37"/>
      <c r="P72" s="8"/>
      <c r="Q72" s="8">
        <v>64432.95</v>
      </c>
      <c r="R72" s="46">
        <v>119412</v>
      </c>
      <c r="S72" s="46">
        <v>104597</v>
      </c>
      <c r="T72" s="37"/>
      <c r="U72" s="8"/>
      <c r="V72" s="46">
        <v>120002</v>
      </c>
      <c r="W72" s="46">
        <v>120162</v>
      </c>
      <c r="X72" s="96"/>
      <c r="Y72" s="46"/>
      <c r="Z72" s="46"/>
      <c r="AA72" s="46"/>
      <c r="AB72" s="46"/>
      <c r="AC72" s="46"/>
      <c r="AD72" s="46">
        <v>108090</v>
      </c>
      <c r="AE72" s="46">
        <v>96990</v>
      </c>
      <c r="AF72" s="46">
        <v>180150</v>
      </c>
      <c r="AG72" s="46">
        <v>16150</v>
      </c>
      <c r="AH72" s="46">
        <v>16100</v>
      </c>
      <c r="AI72" s="12">
        <f>AF72/AE72*1-1</f>
        <v>0.85740798020414477</v>
      </c>
      <c r="AJ72" s="69">
        <f>AF72-AE72</f>
        <v>83160</v>
      </c>
      <c r="AK72" s="46"/>
      <c r="AL72" s="46"/>
      <c r="AM72" s="46"/>
      <c r="AN72" s="46"/>
      <c r="AO72" s="46"/>
      <c r="AP72" s="46"/>
      <c r="AQ72" s="46"/>
    </row>
    <row r="73" spans="1:43" hidden="1" x14ac:dyDescent="0.35">
      <c r="A73" s="8"/>
      <c r="B73" s="8"/>
      <c r="C73" s="8"/>
      <c r="D73" s="8"/>
      <c r="E73" s="8"/>
      <c r="F73" s="8"/>
      <c r="G73" s="28" t="s">
        <v>72</v>
      </c>
      <c r="H73" s="8"/>
      <c r="I73" s="8"/>
      <c r="J73" s="8"/>
      <c r="K73" s="8"/>
      <c r="L73" s="8"/>
      <c r="M73" s="8">
        <v>706142.54</v>
      </c>
      <c r="N73" s="46"/>
      <c r="O73" s="37"/>
      <c r="P73" s="8"/>
      <c r="Q73" s="8">
        <v>389457.99</v>
      </c>
      <c r="R73" s="46">
        <v>694100</v>
      </c>
      <c r="S73" s="46">
        <v>739230</v>
      </c>
      <c r="T73" s="37"/>
      <c r="U73" s="8"/>
      <c r="V73" s="46">
        <v>695200</v>
      </c>
      <c r="W73" s="46">
        <v>696900</v>
      </c>
      <c r="X73" s="96"/>
      <c r="Y73" s="46"/>
      <c r="Z73" s="46"/>
      <c r="AA73" s="46"/>
      <c r="AB73" s="46"/>
      <c r="AC73" s="46"/>
      <c r="AD73" s="46">
        <v>809000</v>
      </c>
      <c r="AE73" s="46">
        <v>827600</v>
      </c>
      <c r="AF73" s="46">
        <v>866850</v>
      </c>
      <c r="AG73" s="46">
        <v>831890</v>
      </c>
      <c r="AH73" s="46">
        <v>831600</v>
      </c>
      <c r="AI73" s="12">
        <f>AF73/AE73*1-1</f>
        <v>4.7426292895118349E-2</v>
      </c>
      <c r="AJ73" s="69">
        <f>AF73-AE73</f>
        <v>39250</v>
      </c>
      <c r="AK73" s="46"/>
      <c r="AL73" s="46"/>
      <c r="AM73" s="46"/>
      <c r="AN73" s="46"/>
      <c r="AO73" s="46"/>
      <c r="AP73" s="46"/>
      <c r="AQ73" s="46"/>
    </row>
    <row r="74" spans="1:43" hidden="1" x14ac:dyDescent="0.35">
      <c r="A74" s="9" t="s">
        <v>146</v>
      </c>
      <c r="B74" s="9"/>
      <c r="C74" s="9"/>
      <c r="D74" s="9"/>
      <c r="E74" s="9"/>
      <c r="F74" s="9"/>
      <c r="G74" s="10" t="s">
        <v>34</v>
      </c>
      <c r="H74" s="9">
        <v>290</v>
      </c>
      <c r="I74" s="9"/>
      <c r="J74" s="9"/>
      <c r="K74" s="9"/>
      <c r="L74" s="9">
        <v>2000</v>
      </c>
      <c r="M74" s="9">
        <f>SUM(M75:M79)</f>
        <v>1625</v>
      </c>
      <c r="N74" s="9">
        <v>1000</v>
      </c>
      <c r="O74" s="11">
        <f>N74/L74*1-1</f>
        <v>-0.5</v>
      </c>
      <c r="P74" s="9">
        <f>N74-L74</f>
        <v>-1000</v>
      </c>
      <c r="Q74" s="9">
        <f>SUM(Q75:Q79)</f>
        <v>50124.2</v>
      </c>
      <c r="R74" s="9">
        <f t="shared" ref="R74:W74" si="36">SUM(R75:R79)</f>
        <v>94950</v>
      </c>
      <c r="S74" s="9">
        <v>95000</v>
      </c>
      <c r="T74" s="11">
        <f>S74/N74*1-1</f>
        <v>94</v>
      </c>
      <c r="U74" s="9">
        <f>S74-N74</f>
        <v>94000</v>
      </c>
      <c r="V74" s="9">
        <f t="shared" si="36"/>
        <v>168000</v>
      </c>
      <c r="W74" s="9">
        <f t="shared" si="36"/>
        <v>61000</v>
      </c>
      <c r="X74" s="96"/>
      <c r="Y74" s="9">
        <v>95000</v>
      </c>
      <c r="Z74" s="9"/>
      <c r="AA74" s="9"/>
      <c r="AB74" s="9"/>
      <c r="AC74" s="9"/>
      <c r="AD74" s="9">
        <f>SUM(AD75:AD79)</f>
        <v>80000</v>
      </c>
      <c r="AE74" s="9">
        <f>SUM(AE75:AE79)</f>
        <v>80000</v>
      </c>
      <c r="AF74" s="9">
        <f>SUM(AF75:AF79)</f>
        <v>61000</v>
      </c>
      <c r="AG74" s="9">
        <f>SUM(AG75:AG79)</f>
        <v>60000</v>
      </c>
      <c r="AH74" s="9">
        <f>SUM(AH75:AH79)</f>
        <v>60000</v>
      </c>
      <c r="AI74" s="20">
        <f>AF74/AE74*1-1</f>
        <v>-0.23750000000000004</v>
      </c>
      <c r="AJ74" s="68">
        <f>AF74-AE74</f>
        <v>-19000</v>
      </c>
      <c r="AK74" s="9">
        <f>SUM(AK76:AK79)</f>
        <v>0</v>
      </c>
      <c r="AL74" s="9">
        <f t="shared" ref="AL74:AM74" si="37">SUM(AL76:AL79)</f>
        <v>0</v>
      </c>
      <c r="AM74" s="9">
        <f t="shared" si="37"/>
        <v>60000</v>
      </c>
      <c r="AN74" s="9"/>
      <c r="AO74" s="9"/>
      <c r="AP74" s="9"/>
      <c r="AQ74" s="9"/>
    </row>
    <row r="75" spans="1:43" hidden="1" x14ac:dyDescent="0.35">
      <c r="A75" s="8"/>
      <c r="B75" s="8"/>
      <c r="C75" s="8"/>
      <c r="D75" s="8"/>
      <c r="E75" s="8"/>
      <c r="F75" s="8"/>
      <c r="G75" s="29" t="s">
        <v>58</v>
      </c>
      <c r="H75" s="8"/>
      <c r="I75" s="8"/>
      <c r="J75" s="8"/>
      <c r="K75" s="8"/>
      <c r="L75" s="8"/>
      <c r="M75" s="8"/>
      <c r="N75" s="8"/>
      <c r="O75" s="37"/>
      <c r="P75" s="8"/>
      <c r="Q75" s="8"/>
      <c r="R75" s="8"/>
      <c r="S75" s="8"/>
      <c r="T75" s="37"/>
      <c r="U75" s="8"/>
      <c r="V75" s="8"/>
      <c r="W75" s="8"/>
      <c r="X75" s="96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37"/>
      <c r="AJ75" s="8"/>
      <c r="AK75" s="8"/>
      <c r="AL75" s="8"/>
      <c r="AM75" s="8"/>
      <c r="AN75" s="8"/>
      <c r="AO75" s="8"/>
      <c r="AP75" s="8"/>
      <c r="AQ75" s="8"/>
    </row>
    <row r="76" spans="1:43" ht="24.5" hidden="1" x14ac:dyDescent="0.35">
      <c r="A76" s="8"/>
      <c r="B76" s="8"/>
      <c r="C76" s="8"/>
      <c r="D76" s="8"/>
      <c r="E76" s="8"/>
      <c r="F76" s="8"/>
      <c r="G76" s="28" t="s">
        <v>80</v>
      </c>
      <c r="H76" s="8"/>
      <c r="I76" s="8"/>
      <c r="J76" s="8"/>
      <c r="K76" s="8"/>
      <c r="L76" s="8"/>
      <c r="M76" s="8"/>
      <c r="N76" s="8"/>
      <c r="O76" s="37"/>
      <c r="P76" s="8"/>
      <c r="Q76" s="8">
        <v>50103</v>
      </c>
      <c r="R76" s="8">
        <v>50000</v>
      </c>
      <c r="S76" s="8"/>
      <c r="T76" s="37"/>
      <c r="U76" s="8"/>
      <c r="V76" s="8">
        <v>30000</v>
      </c>
      <c r="W76" s="8">
        <v>10000</v>
      </c>
      <c r="X76" s="96"/>
      <c r="Y76" s="8"/>
      <c r="Z76" s="8"/>
      <c r="AA76" s="8"/>
      <c r="AB76" s="8"/>
      <c r="AC76" s="8"/>
      <c r="AD76" s="8">
        <v>80000</v>
      </c>
      <c r="AE76" s="8">
        <v>80000</v>
      </c>
      <c r="AF76" s="8">
        <v>61000</v>
      </c>
      <c r="AG76" s="8">
        <v>60000</v>
      </c>
      <c r="AH76" s="8">
        <v>60000</v>
      </c>
      <c r="AI76" s="12">
        <f>AF76/AE76*1-1</f>
        <v>-0.23750000000000004</v>
      </c>
      <c r="AJ76" s="69">
        <f>AF76-AE76</f>
        <v>-19000</v>
      </c>
      <c r="AK76" s="8"/>
      <c r="AL76" s="8"/>
      <c r="AM76" s="8">
        <f>AH76</f>
        <v>60000</v>
      </c>
      <c r="AN76" s="8"/>
      <c r="AO76" s="8"/>
      <c r="AP76" s="8"/>
      <c r="AQ76" s="8"/>
    </row>
    <row r="77" spans="1:43" hidden="1" x14ac:dyDescent="0.35">
      <c r="A77" s="8"/>
      <c r="B77" s="8"/>
      <c r="C77" s="8"/>
      <c r="D77" s="8"/>
      <c r="E77" s="8"/>
      <c r="F77" s="8"/>
      <c r="G77" s="29" t="s">
        <v>81</v>
      </c>
      <c r="H77" s="8"/>
      <c r="I77" s="8"/>
      <c r="J77" s="8"/>
      <c r="K77" s="8"/>
      <c r="L77" s="8"/>
      <c r="M77" s="8"/>
      <c r="N77" s="8"/>
      <c r="O77" s="37"/>
      <c r="P77" s="8"/>
      <c r="Q77" s="8"/>
      <c r="R77" s="8">
        <v>43300</v>
      </c>
      <c r="S77" s="8"/>
      <c r="T77" s="37"/>
      <c r="U77" s="8"/>
      <c r="V77" s="8">
        <v>135000</v>
      </c>
      <c r="W77" s="8">
        <v>50000</v>
      </c>
      <c r="X77" s="96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37"/>
      <c r="AJ77" s="8"/>
      <c r="AK77" s="8"/>
      <c r="AL77" s="8"/>
      <c r="AM77" s="8"/>
      <c r="AN77" s="8"/>
      <c r="AO77" s="8"/>
      <c r="AP77" s="8"/>
      <c r="AQ77" s="8"/>
    </row>
    <row r="78" spans="1:43" hidden="1" x14ac:dyDescent="0.35">
      <c r="A78" s="8"/>
      <c r="B78" s="8"/>
      <c r="C78" s="8"/>
      <c r="D78" s="8"/>
      <c r="E78" s="8"/>
      <c r="F78" s="8"/>
      <c r="G78" s="29" t="s">
        <v>73</v>
      </c>
      <c r="H78" s="8"/>
      <c r="I78" s="8"/>
      <c r="J78" s="8"/>
      <c r="K78" s="8"/>
      <c r="L78" s="8"/>
      <c r="M78" s="8"/>
      <c r="N78" s="8"/>
      <c r="O78" s="37"/>
      <c r="P78" s="8"/>
      <c r="Q78" s="8">
        <v>21.2</v>
      </c>
      <c r="R78" s="8"/>
      <c r="S78" s="8"/>
      <c r="T78" s="37"/>
      <c r="U78" s="8"/>
      <c r="V78" s="8"/>
      <c r="W78" s="8"/>
      <c r="X78" s="96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37"/>
      <c r="AJ78" s="8"/>
      <c r="AK78" s="8"/>
      <c r="AL78" s="8"/>
      <c r="AM78" s="8"/>
      <c r="AN78" s="8"/>
      <c r="AO78" s="8"/>
      <c r="AP78" s="8"/>
      <c r="AQ78" s="8"/>
    </row>
    <row r="79" spans="1:43" hidden="1" x14ac:dyDescent="0.35">
      <c r="A79" s="8"/>
      <c r="B79" s="8"/>
      <c r="C79" s="8"/>
      <c r="D79" s="8"/>
      <c r="E79" s="8"/>
      <c r="F79" s="8"/>
      <c r="G79" s="29" t="s">
        <v>68</v>
      </c>
      <c r="H79" s="8"/>
      <c r="I79" s="8"/>
      <c r="J79" s="8"/>
      <c r="K79" s="8"/>
      <c r="L79" s="8"/>
      <c r="M79" s="8">
        <v>1625</v>
      </c>
      <c r="N79" s="8"/>
      <c r="O79" s="37"/>
      <c r="P79" s="8"/>
      <c r="Q79" s="8"/>
      <c r="R79" s="8">
        <v>1650</v>
      </c>
      <c r="S79" s="8"/>
      <c r="T79" s="37"/>
      <c r="U79" s="8"/>
      <c r="V79" s="8">
        <v>3000</v>
      </c>
      <c r="W79" s="8">
        <v>1000</v>
      </c>
      <c r="X79" s="96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37"/>
      <c r="AJ79" s="8"/>
      <c r="AK79" s="8"/>
      <c r="AL79" s="8"/>
      <c r="AM79" s="8"/>
      <c r="AN79" s="8"/>
      <c r="AO79" s="8"/>
      <c r="AP79" s="8"/>
      <c r="AQ79" s="8"/>
    </row>
    <row r="80" spans="1:43" hidden="1" x14ac:dyDescent="0.35">
      <c r="A80" s="9" t="s">
        <v>147</v>
      </c>
      <c r="B80" s="9"/>
      <c r="C80" s="9"/>
      <c r="D80" s="9"/>
      <c r="E80" s="9"/>
      <c r="F80" s="9"/>
      <c r="G80" s="10" t="s">
        <v>14</v>
      </c>
      <c r="H80" s="9">
        <v>49235</v>
      </c>
      <c r="I80" s="9"/>
      <c r="J80" s="9">
        <v>44022</v>
      </c>
      <c r="K80" s="9"/>
      <c r="L80" s="9">
        <v>41130</v>
      </c>
      <c r="M80" s="9">
        <f>SUM(M81:M85)</f>
        <v>48532.97</v>
      </c>
      <c r="N80" s="15">
        <v>41000</v>
      </c>
      <c r="O80" s="11">
        <f>N80/L80*1-1</f>
        <v>-3.1607099440797981E-3</v>
      </c>
      <c r="P80" s="9">
        <f>N80-L80</f>
        <v>-130</v>
      </c>
      <c r="Q80" s="9">
        <f>SUM(Q81:Q85)</f>
        <v>37207.259999999995</v>
      </c>
      <c r="R80" s="9">
        <f t="shared" ref="R80:W80" si="38">SUM(R81:R85)</f>
        <v>39800</v>
      </c>
      <c r="S80" s="15">
        <v>40000</v>
      </c>
      <c r="T80" s="11">
        <f>S80/N80*1-1</f>
        <v>-2.4390243902439046E-2</v>
      </c>
      <c r="U80" s="9">
        <f>S80-N80</f>
        <v>-1000</v>
      </c>
      <c r="V80" s="9">
        <f t="shared" si="38"/>
        <v>39300</v>
      </c>
      <c r="W80" s="9">
        <f t="shared" si="38"/>
        <v>39100</v>
      </c>
      <c r="X80" s="96"/>
      <c r="Y80" s="15"/>
      <c r="Z80" s="15"/>
      <c r="AA80" s="15">
        <v>40000</v>
      </c>
      <c r="AB80" s="15"/>
      <c r="AC80" s="15"/>
      <c r="AD80" s="9">
        <f>SUM(AD81:AD85)</f>
        <v>39000</v>
      </c>
      <c r="AE80" s="9">
        <f>SUM(AE81:AE85)</f>
        <v>39000</v>
      </c>
      <c r="AF80" s="9">
        <f>SUM(AF81:AF85)</f>
        <v>37000</v>
      </c>
      <c r="AG80" s="9">
        <f>SUM(AG81:AG85)</f>
        <v>37000</v>
      </c>
      <c r="AH80" s="9">
        <f>SUM(AH81:AH85)</f>
        <v>37000</v>
      </c>
      <c r="AI80" s="20">
        <f>AF80/AE80*1-1</f>
        <v>-5.1282051282051322E-2</v>
      </c>
      <c r="AJ80" s="68">
        <f>AF80-AE80</f>
        <v>-2000</v>
      </c>
      <c r="AK80" s="15"/>
      <c r="AL80" s="15"/>
      <c r="AM80" s="15"/>
      <c r="AN80" s="15"/>
      <c r="AO80" s="15">
        <f>SUM(AH80)</f>
        <v>37000</v>
      </c>
      <c r="AP80" s="15"/>
      <c r="AQ80" s="15"/>
    </row>
    <row r="81" spans="1:43" hidden="1" x14ac:dyDescent="0.35">
      <c r="A81" s="9" t="s">
        <v>146</v>
      </c>
      <c r="B81" s="8"/>
      <c r="C81" s="8"/>
      <c r="D81" s="8"/>
      <c r="E81" s="8"/>
      <c r="F81" s="8"/>
      <c r="G81" s="29" t="s">
        <v>58</v>
      </c>
      <c r="H81" s="8"/>
      <c r="I81" s="8"/>
      <c r="J81" s="8"/>
      <c r="K81" s="8"/>
      <c r="L81" s="8"/>
      <c r="M81" s="8"/>
      <c r="N81" s="46"/>
      <c r="O81" s="37"/>
      <c r="P81" s="8"/>
      <c r="Q81" s="8"/>
      <c r="R81" s="46"/>
      <c r="S81" s="46"/>
      <c r="T81" s="37"/>
      <c r="U81" s="8"/>
      <c r="V81" s="46"/>
      <c r="W81" s="46"/>
      <c r="X81" s="9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37"/>
      <c r="AJ81" s="8"/>
      <c r="AK81" s="46"/>
      <c r="AL81" s="46"/>
      <c r="AM81" s="46"/>
      <c r="AN81" s="46"/>
      <c r="AO81" s="46"/>
      <c r="AP81" s="46"/>
      <c r="AQ81" s="46"/>
    </row>
    <row r="82" spans="1:43" hidden="1" x14ac:dyDescent="0.35">
      <c r="A82" s="9" t="s">
        <v>146</v>
      </c>
      <c r="B82" s="8"/>
      <c r="C82" s="8"/>
      <c r="D82" s="8"/>
      <c r="E82" s="8"/>
      <c r="F82" s="8"/>
      <c r="G82" s="29" t="s">
        <v>59</v>
      </c>
      <c r="H82" s="8"/>
      <c r="I82" s="8"/>
      <c r="J82" s="8"/>
      <c r="K82" s="8">
        <v>27861.45</v>
      </c>
      <c r="L82" s="8"/>
      <c r="M82" s="8">
        <v>26587.84</v>
      </c>
      <c r="N82" s="46"/>
      <c r="O82" s="37"/>
      <c r="P82" s="8"/>
      <c r="Q82" s="8">
        <v>24732.26</v>
      </c>
      <c r="R82" s="46">
        <v>26000</v>
      </c>
      <c r="S82" s="46"/>
      <c r="T82" s="37"/>
      <c r="U82" s="8"/>
      <c r="V82" s="46">
        <v>26000</v>
      </c>
      <c r="W82" s="46">
        <v>26000</v>
      </c>
      <c r="X82" s="96"/>
      <c r="Y82" s="46"/>
      <c r="Z82" s="46"/>
      <c r="AA82" s="46"/>
      <c r="AB82" s="46"/>
      <c r="AC82" s="46"/>
      <c r="AD82" s="46">
        <v>26000</v>
      </c>
      <c r="AE82" s="46">
        <v>26000</v>
      </c>
      <c r="AF82" s="46">
        <v>22000</v>
      </c>
      <c r="AG82" s="46">
        <v>22000</v>
      </c>
      <c r="AH82" s="46">
        <v>22000</v>
      </c>
      <c r="AI82" s="37"/>
      <c r="AJ82" s="8"/>
      <c r="AK82" s="46"/>
      <c r="AL82" s="46"/>
      <c r="AM82" s="46"/>
      <c r="AN82" s="46"/>
      <c r="AO82" s="46"/>
      <c r="AP82" s="46"/>
      <c r="AQ82" s="46"/>
    </row>
    <row r="83" spans="1:43" hidden="1" x14ac:dyDescent="0.35">
      <c r="A83" s="9" t="s">
        <v>146</v>
      </c>
      <c r="B83" s="8"/>
      <c r="C83" s="8"/>
      <c r="D83" s="8"/>
      <c r="E83" s="8"/>
      <c r="F83" s="8"/>
      <c r="G83" s="29" t="s">
        <v>67</v>
      </c>
      <c r="H83" s="8"/>
      <c r="I83" s="8"/>
      <c r="J83" s="8"/>
      <c r="K83" s="8"/>
      <c r="L83" s="8"/>
      <c r="M83" s="8">
        <v>16726.38</v>
      </c>
      <c r="N83" s="46"/>
      <c r="O83" s="37"/>
      <c r="P83" s="8"/>
      <c r="Q83" s="8">
        <v>5732.71</v>
      </c>
      <c r="R83" s="46">
        <v>12000</v>
      </c>
      <c r="S83" s="46"/>
      <c r="T83" s="37"/>
      <c r="U83" s="8"/>
      <c r="V83" s="46">
        <v>12000</v>
      </c>
      <c r="W83" s="46">
        <v>12000</v>
      </c>
      <c r="X83" s="96"/>
      <c r="Y83" s="46"/>
      <c r="Z83" s="46"/>
      <c r="AA83" s="46"/>
      <c r="AB83" s="46"/>
      <c r="AC83" s="46"/>
      <c r="AD83" s="46">
        <v>12200</v>
      </c>
      <c r="AE83" s="46">
        <v>12200</v>
      </c>
      <c r="AF83" s="46">
        <v>14200</v>
      </c>
      <c r="AG83" s="46">
        <v>14200</v>
      </c>
      <c r="AH83" s="46">
        <v>14200</v>
      </c>
      <c r="AI83" s="37"/>
      <c r="AJ83" s="8"/>
      <c r="AK83" s="46"/>
      <c r="AL83" s="46"/>
      <c r="AM83" s="46"/>
      <c r="AN83" s="46"/>
      <c r="AO83" s="46"/>
      <c r="AP83" s="46"/>
      <c r="AQ83" s="46"/>
    </row>
    <row r="84" spans="1:43" hidden="1" x14ac:dyDescent="0.35">
      <c r="A84" s="9" t="s">
        <v>146</v>
      </c>
      <c r="B84" s="8"/>
      <c r="C84" s="8"/>
      <c r="D84" s="8"/>
      <c r="E84" s="8"/>
      <c r="F84" s="8"/>
      <c r="G84" s="29" t="s">
        <v>60</v>
      </c>
      <c r="H84" s="8"/>
      <c r="I84" s="8"/>
      <c r="J84" s="8"/>
      <c r="K84" s="8"/>
      <c r="L84" s="8"/>
      <c r="M84" s="8">
        <v>862.75</v>
      </c>
      <c r="N84" s="46"/>
      <c r="O84" s="37"/>
      <c r="P84" s="8"/>
      <c r="Q84" s="8">
        <v>874.29</v>
      </c>
      <c r="R84" s="46">
        <v>800</v>
      </c>
      <c r="S84" s="46"/>
      <c r="T84" s="37"/>
      <c r="U84" s="8"/>
      <c r="V84" s="46">
        <v>800</v>
      </c>
      <c r="W84" s="46">
        <v>800</v>
      </c>
      <c r="X84" s="96"/>
      <c r="Y84" s="46"/>
      <c r="Z84" s="46"/>
      <c r="AA84" s="46"/>
      <c r="AB84" s="46"/>
      <c r="AC84" s="46"/>
      <c r="AD84" s="46">
        <v>800</v>
      </c>
      <c r="AE84" s="46">
        <v>800</v>
      </c>
      <c r="AF84" s="46">
        <v>800</v>
      </c>
      <c r="AG84" s="46">
        <v>800</v>
      </c>
      <c r="AH84" s="46">
        <v>800</v>
      </c>
      <c r="AI84" s="37"/>
      <c r="AJ84" s="8"/>
      <c r="AK84" s="46"/>
      <c r="AL84" s="46"/>
      <c r="AM84" s="46"/>
      <c r="AN84" s="46"/>
      <c r="AO84" s="46"/>
      <c r="AP84" s="46"/>
      <c r="AQ84" s="46"/>
    </row>
    <row r="85" spans="1:43" hidden="1" x14ac:dyDescent="0.35">
      <c r="A85" s="9" t="s">
        <v>146</v>
      </c>
      <c r="B85" s="8"/>
      <c r="C85" s="8"/>
      <c r="D85" s="8"/>
      <c r="E85" s="8"/>
      <c r="F85" s="8"/>
      <c r="G85" s="29" t="s">
        <v>61</v>
      </c>
      <c r="H85" s="8"/>
      <c r="I85" s="8"/>
      <c r="J85" s="8"/>
      <c r="K85" s="8"/>
      <c r="L85" s="8"/>
      <c r="M85" s="8">
        <v>4356</v>
      </c>
      <c r="N85" s="46"/>
      <c r="O85" s="37"/>
      <c r="P85" s="8"/>
      <c r="Q85" s="8">
        <v>5868</v>
      </c>
      <c r="R85" s="46">
        <v>1000</v>
      </c>
      <c r="S85" s="46"/>
      <c r="T85" s="37"/>
      <c r="U85" s="8"/>
      <c r="V85" s="46">
        <v>500</v>
      </c>
      <c r="W85" s="46">
        <v>300</v>
      </c>
      <c r="X85" s="9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37"/>
      <c r="AJ85" s="8"/>
      <c r="AK85" s="46"/>
      <c r="AL85" s="46"/>
      <c r="AM85" s="46"/>
      <c r="AN85" s="46"/>
      <c r="AO85" s="46"/>
      <c r="AP85" s="46"/>
      <c r="AQ85" s="46"/>
    </row>
    <row r="86" spans="1:43" hidden="1" x14ac:dyDescent="0.35">
      <c r="A86" s="9" t="s">
        <v>148</v>
      </c>
      <c r="B86" s="9"/>
      <c r="C86" s="9"/>
      <c r="D86" s="9"/>
      <c r="E86" s="9"/>
      <c r="F86" s="9"/>
      <c r="G86" s="10" t="s">
        <v>16</v>
      </c>
      <c r="H86" s="9">
        <v>2896</v>
      </c>
      <c r="I86" s="9"/>
      <c r="J86" s="9">
        <v>6082</v>
      </c>
      <c r="K86" s="9">
        <v>12314.08</v>
      </c>
      <c r="L86" s="9">
        <v>5000</v>
      </c>
      <c r="M86" s="9">
        <f>SUM(M88:M94)</f>
        <v>8991.4</v>
      </c>
      <c r="N86" s="9">
        <v>5000</v>
      </c>
      <c r="O86" s="11">
        <f>N86/L86*1-1</f>
        <v>0</v>
      </c>
      <c r="P86" s="9">
        <f>N86-L86</f>
        <v>0</v>
      </c>
      <c r="Q86" s="9">
        <f>SUM(Q88:Q94)</f>
        <v>5342.19</v>
      </c>
      <c r="R86" s="9">
        <f t="shared" ref="R86:W86" si="39">SUM(R88:R94)</f>
        <v>877900</v>
      </c>
      <c r="S86" s="9">
        <v>532500</v>
      </c>
      <c r="T86" s="11">
        <f>S86/N86*1-1</f>
        <v>105.5</v>
      </c>
      <c r="U86" s="9">
        <f>S86-N86</f>
        <v>527500</v>
      </c>
      <c r="V86" s="9">
        <f t="shared" si="39"/>
        <v>1005700</v>
      </c>
      <c r="W86" s="9">
        <f t="shared" si="39"/>
        <v>1105600</v>
      </c>
      <c r="X86" s="95">
        <v>608000</v>
      </c>
      <c r="Y86" s="9">
        <v>532500</v>
      </c>
      <c r="Z86" s="9"/>
      <c r="AA86" s="9"/>
      <c r="AB86" s="9"/>
      <c r="AC86" s="9"/>
      <c r="AD86" s="9">
        <f>SUM(AD88:AD94)</f>
        <v>497690</v>
      </c>
      <c r="AE86" s="9">
        <f>SUM(AE88:AE94)</f>
        <v>557690</v>
      </c>
      <c r="AF86" s="9">
        <f>SUM(AF88:AF94)</f>
        <v>631700</v>
      </c>
      <c r="AG86" s="9">
        <f>SUM(AG88:AG94)</f>
        <v>653000</v>
      </c>
      <c r="AH86" s="9">
        <f>SUM(AH88:AH94)</f>
        <v>654000</v>
      </c>
      <c r="AI86" s="20">
        <f>AF86/AE86*1-1</f>
        <v>0.13270813534400827</v>
      </c>
      <c r="AJ86" s="68">
        <f>AF86-AE86</f>
        <v>74010</v>
      </c>
      <c r="AK86" s="9">
        <f>SUM(AH86)</f>
        <v>654000</v>
      </c>
      <c r="AL86" s="9"/>
      <c r="AM86" s="9"/>
      <c r="AN86" s="9"/>
      <c r="AO86" s="9"/>
      <c r="AP86" s="9"/>
      <c r="AQ86" s="9"/>
    </row>
    <row r="87" spans="1:43" hidden="1" x14ac:dyDescent="0.35">
      <c r="A87" s="8"/>
      <c r="B87" s="8"/>
      <c r="C87" s="8"/>
      <c r="D87" s="8"/>
      <c r="E87" s="8"/>
      <c r="F87" s="8"/>
      <c r="G87" s="29" t="s">
        <v>58</v>
      </c>
      <c r="H87" s="8"/>
      <c r="I87" s="8"/>
      <c r="J87" s="8"/>
      <c r="K87" s="8"/>
      <c r="L87" s="8"/>
      <c r="M87" s="8"/>
      <c r="N87" s="8"/>
      <c r="O87" s="37"/>
      <c r="P87" s="8"/>
      <c r="Q87" s="8"/>
      <c r="R87" s="8"/>
      <c r="S87" s="8"/>
      <c r="T87" s="37"/>
      <c r="U87" s="8"/>
      <c r="V87" s="8"/>
      <c r="W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37"/>
      <c r="AJ87" s="8"/>
      <c r="AK87" s="8"/>
      <c r="AL87" s="8"/>
      <c r="AM87" s="8"/>
      <c r="AN87" s="8"/>
      <c r="AO87" s="8"/>
      <c r="AP87" s="8"/>
      <c r="AQ87" s="8"/>
    </row>
    <row r="88" spans="1:43" hidden="1" x14ac:dyDescent="0.35">
      <c r="A88" s="8"/>
      <c r="B88" s="8"/>
      <c r="C88" s="8"/>
      <c r="D88" s="8"/>
      <c r="E88" s="8"/>
      <c r="F88" s="8"/>
      <c r="G88" s="29" t="s">
        <v>54</v>
      </c>
      <c r="H88" s="8"/>
      <c r="I88" s="8"/>
      <c r="J88" s="8"/>
      <c r="K88" s="8"/>
      <c r="L88" s="8"/>
      <c r="M88" s="8"/>
      <c r="N88" s="8"/>
      <c r="O88" s="37"/>
      <c r="P88" s="8"/>
      <c r="Q88" s="8"/>
      <c r="R88" s="8">
        <v>100</v>
      </c>
      <c r="S88" s="8"/>
      <c r="T88" s="37"/>
      <c r="U88" s="8"/>
      <c r="V88" s="8">
        <v>100</v>
      </c>
      <c r="W88" s="8">
        <v>100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37"/>
      <c r="AJ88" s="8"/>
      <c r="AK88" s="8"/>
      <c r="AL88" s="8"/>
      <c r="AM88" s="8"/>
      <c r="AN88" s="8"/>
      <c r="AO88" s="8"/>
      <c r="AP88" s="8"/>
      <c r="AQ88" s="8"/>
    </row>
    <row r="89" spans="1:43" hidden="1" x14ac:dyDescent="0.35">
      <c r="A89" s="8"/>
      <c r="B89" s="8"/>
      <c r="C89" s="8"/>
      <c r="D89" s="8"/>
      <c r="E89" s="8"/>
      <c r="F89" s="8"/>
      <c r="G89" s="29" t="s">
        <v>66</v>
      </c>
      <c r="H89" s="8"/>
      <c r="I89" s="8"/>
      <c r="J89" s="8"/>
      <c r="K89" s="8"/>
      <c r="L89" s="8"/>
      <c r="M89" s="8">
        <v>266</v>
      </c>
      <c r="N89" s="8"/>
      <c r="O89" s="37"/>
      <c r="P89" s="8"/>
      <c r="Q89" s="8">
        <v>294</v>
      </c>
      <c r="R89" s="8"/>
      <c r="S89" s="8"/>
      <c r="T89" s="37"/>
      <c r="U89" s="8"/>
      <c r="V89" s="8"/>
      <c r="W89" s="8"/>
      <c r="Y89" s="8"/>
      <c r="Z89" s="8"/>
      <c r="AA89" s="8"/>
      <c r="AB89" s="8"/>
      <c r="AC89" s="8"/>
      <c r="AD89" s="8">
        <v>700</v>
      </c>
      <c r="AE89" s="8">
        <v>700</v>
      </c>
      <c r="AF89" s="8">
        <v>700</v>
      </c>
      <c r="AG89" s="8">
        <v>700</v>
      </c>
      <c r="AH89" s="8">
        <v>700</v>
      </c>
      <c r="AI89" s="37"/>
      <c r="AJ89" s="8"/>
      <c r="AK89" s="8"/>
      <c r="AL89" s="8"/>
      <c r="AM89" s="8"/>
      <c r="AN89" s="8"/>
      <c r="AO89" s="8"/>
      <c r="AP89" s="8"/>
      <c r="AQ89" s="8"/>
    </row>
    <row r="90" spans="1:43" hidden="1" x14ac:dyDescent="0.35">
      <c r="A90" s="8"/>
      <c r="B90" s="8"/>
      <c r="C90" s="8"/>
      <c r="D90" s="8"/>
      <c r="E90" s="8"/>
      <c r="F90" s="8"/>
      <c r="G90" s="29" t="s">
        <v>63</v>
      </c>
      <c r="H90" s="8"/>
      <c r="I90" s="8"/>
      <c r="J90" s="8"/>
      <c r="K90" s="8"/>
      <c r="L90" s="8"/>
      <c r="M90" s="8">
        <v>3038.7</v>
      </c>
      <c r="N90" s="8"/>
      <c r="O90" s="37"/>
      <c r="P90" s="8"/>
      <c r="Q90" s="8">
        <v>2506.79</v>
      </c>
      <c r="R90" s="8">
        <v>3000</v>
      </c>
      <c r="S90" s="8"/>
      <c r="T90" s="37"/>
      <c r="U90" s="8"/>
      <c r="V90" s="8">
        <v>3000</v>
      </c>
      <c r="W90" s="8">
        <v>3000</v>
      </c>
      <c r="Y90" s="8"/>
      <c r="Z90" s="8"/>
      <c r="AA90" s="8"/>
      <c r="AB90" s="8"/>
      <c r="AC90" s="8"/>
      <c r="AD90" s="8">
        <v>2840</v>
      </c>
      <c r="AE90" s="8">
        <v>2840</v>
      </c>
      <c r="AF90" s="8">
        <v>2840</v>
      </c>
      <c r="AG90" s="8">
        <v>3200</v>
      </c>
      <c r="AH90" s="8">
        <v>3200</v>
      </c>
      <c r="AI90" s="37"/>
      <c r="AJ90" s="8"/>
      <c r="AK90" s="8"/>
      <c r="AL90" s="8"/>
      <c r="AM90" s="8"/>
      <c r="AN90" s="8"/>
      <c r="AO90" s="8"/>
      <c r="AP90" s="8"/>
      <c r="AQ90" s="8"/>
    </row>
    <row r="91" spans="1:43" hidden="1" x14ac:dyDescent="0.35">
      <c r="A91" s="8"/>
      <c r="B91" s="8"/>
      <c r="C91" s="8"/>
      <c r="D91" s="8"/>
      <c r="E91" s="8"/>
      <c r="F91" s="8"/>
      <c r="G91" s="29" t="s">
        <v>64</v>
      </c>
      <c r="H91" s="8"/>
      <c r="I91" s="8"/>
      <c r="J91" s="8"/>
      <c r="K91" s="8"/>
      <c r="L91" s="8"/>
      <c r="M91" s="8">
        <v>4021</v>
      </c>
      <c r="N91" s="8"/>
      <c r="O91" s="37"/>
      <c r="P91" s="8"/>
      <c r="Q91" s="8">
        <v>1574</v>
      </c>
      <c r="R91" s="8">
        <v>4000</v>
      </c>
      <c r="S91" s="8"/>
      <c r="T91" s="37"/>
      <c r="U91" s="8"/>
      <c r="V91" s="8">
        <v>2000</v>
      </c>
      <c r="W91" s="8">
        <v>2000</v>
      </c>
      <c r="Y91" s="8"/>
      <c r="Z91" s="8"/>
      <c r="AA91" s="8"/>
      <c r="AB91" s="8"/>
      <c r="AC91" s="8"/>
      <c r="AD91" s="8">
        <v>2000</v>
      </c>
      <c r="AE91" s="8">
        <v>2000</v>
      </c>
      <c r="AF91" s="8">
        <v>3000</v>
      </c>
      <c r="AG91" s="8">
        <v>4000</v>
      </c>
      <c r="AH91" s="8">
        <v>5000</v>
      </c>
      <c r="AI91" s="37"/>
      <c r="AJ91" s="8"/>
      <c r="AK91" s="8"/>
      <c r="AL91" s="8"/>
      <c r="AM91" s="8"/>
      <c r="AN91" s="8"/>
      <c r="AO91" s="8"/>
      <c r="AP91" s="8"/>
      <c r="AQ91" s="8"/>
    </row>
    <row r="92" spans="1:43" hidden="1" x14ac:dyDescent="0.35">
      <c r="A92" s="8"/>
      <c r="B92" s="8"/>
      <c r="C92" s="8"/>
      <c r="D92" s="8"/>
      <c r="E92" s="8"/>
      <c r="F92" s="8"/>
      <c r="G92" s="8" t="s">
        <v>65</v>
      </c>
      <c r="H92" s="8"/>
      <c r="I92" s="8"/>
      <c r="J92" s="8"/>
      <c r="K92" s="8"/>
      <c r="L92" s="8"/>
      <c r="M92" s="8">
        <v>1665.7</v>
      </c>
      <c r="N92" s="8"/>
      <c r="O92" s="37"/>
      <c r="P92" s="8"/>
      <c r="Q92" s="8">
        <v>967.4</v>
      </c>
      <c r="R92" s="8">
        <v>800</v>
      </c>
      <c r="S92" s="8"/>
      <c r="T92" s="37"/>
      <c r="U92" s="8"/>
      <c r="V92" s="8">
        <v>600</v>
      </c>
      <c r="W92" s="8">
        <v>500</v>
      </c>
      <c r="Y92" s="8"/>
      <c r="Z92" s="8"/>
      <c r="AA92" s="8"/>
      <c r="AB92" s="8"/>
      <c r="AC92" s="8"/>
      <c r="AD92" s="8">
        <v>2000</v>
      </c>
      <c r="AE92" s="8">
        <v>2000</v>
      </c>
      <c r="AF92" s="8">
        <v>2000</v>
      </c>
      <c r="AG92" s="8">
        <v>100</v>
      </c>
      <c r="AH92" s="8">
        <v>100</v>
      </c>
      <c r="AI92" s="37"/>
      <c r="AJ92" s="8"/>
      <c r="AK92" s="8"/>
      <c r="AL92" s="8"/>
      <c r="AM92" s="8"/>
      <c r="AN92" s="8"/>
      <c r="AO92" s="8"/>
      <c r="AP92" s="8"/>
      <c r="AQ92" s="8"/>
    </row>
    <row r="93" spans="1:43" hidden="1" x14ac:dyDescent="0.35">
      <c r="A93" s="8"/>
      <c r="B93" s="8"/>
      <c r="C93" s="8"/>
      <c r="D93" s="8"/>
      <c r="E93" s="8"/>
      <c r="F93" s="8"/>
      <c r="G93" s="8" t="s">
        <v>159</v>
      </c>
      <c r="H93" s="8"/>
      <c r="I93" s="8"/>
      <c r="J93" s="8"/>
      <c r="K93" s="8"/>
      <c r="L93" s="8"/>
      <c r="M93" s="8"/>
      <c r="N93" s="8"/>
      <c r="O93" s="37"/>
      <c r="P93" s="8"/>
      <c r="Q93" s="8"/>
      <c r="R93" s="8"/>
      <c r="S93" s="8"/>
      <c r="T93" s="37"/>
      <c r="U93" s="8"/>
      <c r="V93" s="8"/>
      <c r="W93" s="8"/>
      <c r="Y93" s="8"/>
      <c r="Z93" s="8"/>
      <c r="AA93" s="8"/>
      <c r="AB93" s="8"/>
      <c r="AC93" s="8"/>
      <c r="AD93" s="8">
        <v>150</v>
      </c>
      <c r="AE93" s="8">
        <v>150</v>
      </c>
      <c r="AF93" s="46">
        <v>160</v>
      </c>
      <c r="AG93" s="46"/>
      <c r="AH93" s="46"/>
      <c r="AI93" s="37"/>
      <c r="AJ93" s="8"/>
      <c r="AK93" s="8"/>
      <c r="AL93" s="8"/>
      <c r="AM93" s="8"/>
      <c r="AN93" s="8"/>
      <c r="AO93" s="8"/>
      <c r="AP93" s="8"/>
      <c r="AQ93" s="8"/>
    </row>
    <row r="94" spans="1:43" hidden="1" x14ac:dyDescent="0.35">
      <c r="A94" s="8"/>
      <c r="B94" s="8"/>
      <c r="C94" s="8"/>
      <c r="D94" s="8"/>
      <c r="E94" s="8"/>
      <c r="F94" s="8"/>
      <c r="G94" s="28" t="s">
        <v>79</v>
      </c>
      <c r="H94" s="8"/>
      <c r="I94" s="8"/>
      <c r="J94" s="8"/>
      <c r="K94" s="8"/>
      <c r="L94" s="8"/>
      <c r="M94" s="8"/>
      <c r="N94" s="8"/>
      <c r="O94" s="37"/>
      <c r="P94" s="8"/>
      <c r="Q94" s="8"/>
      <c r="R94" s="8">
        <v>870000</v>
      </c>
      <c r="S94" s="8"/>
      <c r="T94" s="37"/>
      <c r="U94" s="8"/>
      <c r="V94" s="8">
        <v>1000000</v>
      </c>
      <c r="W94" s="8">
        <v>1100000</v>
      </c>
      <c r="Y94" s="8"/>
      <c r="Z94" s="8"/>
      <c r="AA94" s="8"/>
      <c r="AB94" s="8"/>
      <c r="AC94" s="8"/>
      <c r="AD94" s="8">
        <v>490000</v>
      </c>
      <c r="AE94" s="8">
        <v>550000</v>
      </c>
      <c r="AF94" s="46">
        <v>623000</v>
      </c>
      <c r="AG94" s="46">
        <v>645000</v>
      </c>
      <c r="AH94" s="46">
        <v>645000</v>
      </c>
      <c r="AI94" s="37"/>
      <c r="AJ94" s="8"/>
      <c r="AK94" s="8"/>
      <c r="AL94" s="8"/>
      <c r="AM94" s="8"/>
      <c r="AN94" s="8"/>
      <c r="AO94" s="8"/>
      <c r="AP94" s="8"/>
      <c r="AQ94" s="8"/>
    </row>
    <row r="95" spans="1:43" ht="24.75" hidden="1" customHeight="1" x14ac:dyDescent="0.35">
      <c r="A95" s="5"/>
      <c r="B95" s="5"/>
      <c r="C95" s="5"/>
      <c r="D95" s="5"/>
      <c r="E95" s="5"/>
      <c r="F95" s="5"/>
      <c r="G95" s="6" t="s">
        <v>17</v>
      </c>
      <c r="H95" s="47" t="e">
        <f>SUM(H68:H86)</f>
        <v>#REF!</v>
      </c>
      <c r="I95" s="47"/>
      <c r="J95" s="47">
        <f>SUM(J50,J51,J54,J64,J68)</f>
        <v>16332545</v>
      </c>
      <c r="K95" s="47"/>
      <c r="L95" s="47">
        <f t="shared" ref="L95:AE95" si="40">SUM(L50,L51,L54,L64,L68)</f>
        <v>17934431</v>
      </c>
      <c r="M95" s="47">
        <f t="shared" si="40"/>
        <v>12245393.399999999</v>
      </c>
      <c r="N95" s="47">
        <f t="shared" si="40"/>
        <v>17434676</v>
      </c>
      <c r="O95" s="47">
        <f t="shared" si="40"/>
        <v>-2.3291949515900918</v>
      </c>
      <c r="P95" s="47">
        <f t="shared" si="40"/>
        <v>-543555</v>
      </c>
      <c r="Q95" s="47">
        <f t="shared" si="40"/>
        <v>660612.47</v>
      </c>
      <c r="R95" s="47">
        <f t="shared" si="40"/>
        <v>13486450</v>
      </c>
      <c r="S95" s="47">
        <f t="shared" si="40"/>
        <v>22508541</v>
      </c>
      <c r="T95" s="47">
        <f t="shared" si="40"/>
        <v>209.12791954198499</v>
      </c>
      <c r="U95" s="47">
        <f t="shared" si="40"/>
        <v>5073865</v>
      </c>
      <c r="V95" s="47">
        <f t="shared" si="40"/>
        <v>4839468</v>
      </c>
      <c r="W95" s="47">
        <f t="shared" si="40"/>
        <v>4836028</v>
      </c>
      <c r="X95" s="47">
        <f t="shared" si="40"/>
        <v>1576000</v>
      </c>
      <c r="Y95" s="47">
        <f t="shared" si="40"/>
        <v>15714500</v>
      </c>
      <c r="Z95" s="47">
        <f t="shared" si="40"/>
        <v>1043500</v>
      </c>
      <c r="AA95" s="47">
        <f t="shared" si="40"/>
        <v>40000</v>
      </c>
      <c r="AB95" s="47">
        <f t="shared" si="40"/>
        <v>5514915</v>
      </c>
      <c r="AC95" s="47">
        <f t="shared" si="40"/>
        <v>195626</v>
      </c>
      <c r="AD95" s="47">
        <f t="shared" si="40"/>
        <v>22440086</v>
      </c>
      <c r="AE95" s="47">
        <f t="shared" si="40"/>
        <v>24145527</v>
      </c>
      <c r="AF95" s="47">
        <f t="shared" ref="AF95:AH95" si="41">SUM(AF50,AF51,AF54,AF64,AF68)</f>
        <v>27889037</v>
      </c>
      <c r="AG95" s="47">
        <f t="shared" ref="AG95" si="42">SUM(AG50,AG51,AG54,AG64,AG68)</f>
        <v>1993910</v>
      </c>
      <c r="AH95" s="47">
        <f t="shared" si="41"/>
        <v>16198000</v>
      </c>
      <c r="AI95" s="48">
        <f t="shared" ref="AI95:AI100" si="43">AF95/AE95*1-1</f>
        <v>0.15503948205396378</v>
      </c>
      <c r="AJ95" s="47">
        <f t="shared" ref="AJ95:AQ95" si="44">SUM(AJ50,AJ51,AJ54,AJ64,AJ68)</f>
        <v>1476510</v>
      </c>
      <c r="AK95" s="47">
        <f t="shared" si="44"/>
        <v>13714070</v>
      </c>
      <c r="AL95" s="47">
        <f t="shared" si="44"/>
        <v>2176930</v>
      </c>
      <c r="AM95" s="47">
        <f t="shared" si="44"/>
        <v>60000</v>
      </c>
      <c r="AN95" s="47">
        <f t="shared" si="44"/>
        <v>1012000</v>
      </c>
      <c r="AO95" s="47">
        <f t="shared" si="44"/>
        <v>37000</v>
      </c>
      <c r="AP95" s="47">
        <f t="shared" si="44"/>
        <v>8622671</v>
      </c>
      <c r="AQ95" s="47">
        <f t="shared" si="44"/>
        <v>1226066</v>
      </c>
    </row>
    <row r="96" spans="1:43" ht="21" hidden="1" customHeight="1" x14ac:dyDescent="0.35">
      <c r="A96" s="24"/>
      <c r="B96" s="24"/>
      <c r="C96" s="24"/>
      <c r="D96" s="24"/>
      <c r="E96" s="24"/>
      <c r="F96" s="24"/>
      <c r="G96" s="27" t="s">
        <v>45</v>
      </c>
      <c r="H96" s="49">
        <v>596303</v>
      </c>
      <c r="I96" s="49"/>
      <c r="J96" s="49">
        <v>812350</v>
      </c>
      <c r="K96" s="49"/>
      <c r="L96" s="49">
        <v>609310</v>
      </c>
      <c r="M96" s="49"/>
      <c r="N96" s="49">
        <v>1370751</v>
      </c>
      <c r="O96" s="50"/>
      <c r="P96" s="49"/>
      <c r="Q96" s="49"/>
      <c r="R96" s="49">
        <v>1370751</v>
      </c>
      <c r="S96" s="49">
        <v>2037067</v>
      </c>
      <c r="T96" s="85">
        <f t="shared" ref="T96:T100" si="45">S96/N96*1-1</f>
        <v>0.4860955782633023</v>
      </c>
      <c r="U96" s="86">
        <f t="shared" ref="U96:U100" si="46">S96-N96</f>
        <v>666316</v>
      </c>
      <c r="V96" s="49">
        <v>1370751</v>
      </c>
      <c r="W96" s="49">
        <v>1370751</v>
      </c>
      <c r="Y96" s="49" t="e">
        <f>SUM(R106,S115,#REF!)</f>
        <v>#REF!</v>
      </c>
      <c r="Z96" s="49">
        <f>SUM(S120)</f>
        <v>0</v>
      </c>
      <c r="AA96" s="49">
        <f>SUM(S123)</f>
        <v>0</v>
      </c>
      <c r="AB96" s="49"/>
      <c r="AC96" s="49">
        <f>SUM(S126)</f>
        <v>0</v>
      </c>
      <c r="AD96" s="49"/>
      <c r="AE96" s="49">
        <v>3704710</v>
      </c>
      <c r="AF96" s="49">
        <v>5881370</v>
      </c>
      <c r="AG96" s="49"/>
      <c r="AH96" s="49">
        <f>SUM(AK96,AL96,AM96,AN96,AO96,AP96,AQ96)</f>
        <v>0</v>
      </c>
      <c r="AI96" s="50">
        <f t="shared" si="43"/>
        <v>0.58753856577167984</v>
      </c>
      <c r="AJ96" s="49">
        <f>AH96-AF96</f>
        <v>-5881370</v>
      </c>
      <c r="AK96" s="49"/>
      <c r="AL96" s="49"/>
      <c r="AM96" s="49"/>
      <c r="AN96" s="49"/>
      <c r="AO96" s="49"/>
      <c r="AP96" s="49"/>
      <c r="AQ96" s="49"/>
    </row>
    <row r="97" spans="1:43" ht="24.75" hidden="1" customHeight="1" x14ac:dyDescent="0.35">
      <c r="A97" s="5"/>
      <c r="B97" s="5"/>
      <c r="C97" s="5"/>
      <c r="D97" s="5"/>
      <c r="E97" s="5"/>
      <c r="F97" s="5"/>
      <c r="G97" s="6" t="s">
        <v>46</v>
      </c>
      <c r="H97" s="47" t="e">
        <f>SUM(H95:H96)</f>
        <v>#REF!</v>
      </c>
      <c r="I97" s="47"/>
      <c r="J97" s="47">
        <f>SUM(J95:J96)</f>
        <v>17144895</v>
      </c>
      <c r="K97" s="47"/>
      <c r="L97" s="47">
        <f>SUM(L95:L96)</f>
        <v>18543741</v>
      </c>
      <c r="M97" s="47"/>
      <c r="N97" s="47">
        <f>SUM(N95:N96)</f>
        <v>18805427</v>
      </c>
      <c r="O97" s="48">
        <f>N97/L97*1-1</f>
        <v>1.4111823498829112E-2</v>
      </c>
      <c r="P97" s="47">
        <f>N97-L97</f>
        <v>261686</v>
      </c>
      <c r="Q97" s="47"/>
      <c r="R97" s="47">
        <f>SUM(R95:R96)</f>
        <v>14857201</v>
      </c>
      <c r="S97" s="47">
        <f>SUM(S95:S96)</f>
        <v>24545608</v>
      </c>
      <c r="T97" s="48">
        <f t="shared" si="45"/>
        <v>0.30524066270869565</v>
      </c>
      <c r="U97" s="47">
        <f t="shared" si="46"/>
        <v>5740181</v>
      </c>
      <c r="V97" s="47">
        <f>SUM(V95:V96)</f>
        <v>6210219</v>
      </c>
      <c r="W97" s="47">
        <f>SUM(W95:W96)</f>
        <v>6206779</v>
      </c>
      <c r="Y97" s="47" t="e">
        <f t="shared" ref="Y97:AE97" si="47">SUM(Y95:Y96)</f>
        <v>#REF!</v>
      </c>
      <c r="Z97" s="47">
        <f t="shared" si="47"/>
        <v>1043500</v>
      </c>
      <c r="AA97" s="47">
        <f t="shared" si="47"/>
        <v>40000</v>
      </c>
      <c r="AB97" s="47">
        <f t="shared" si="47"/>
        <v>5514915</v>
      </c>
      <c r="AC97" s="47">
        <f t="shared" si="47"/>
        <v>195626</v>
      </c>
      <c r="AD97" s="47">
        <f t="shared" si="47"/>
        <v>22440086</v>
      </c>
      <c r="AE97" s="47">
        <f t="shared" si="47"/>
        <v>27850237</v>
      </c>
      <c r="AF97" s="47">
        <f t="shared" ref="AF97" si="48">SUM(AF95:AF96)</f>
        <v>33770407</v>
      </c>
      <c r="AG97" s="47"/>
      <c r="AH97" s="47"/>
      <c r="AI97" s="48">
        <f t="shared" si="43"/>
        <v>0.21257162012660791</v>
      </c>
      <c r="AJ97" s="47">
        <f>SUM(AJ52,AJ53,AJ56,AJ66,AJ70)</f>
        <v>2076147</v>
      </c>
      <c r="AK97" s="47">
        <f>SUM(AK95:AK96)</f>
        <v>13714070</v>
      </c>
      <c r="AL97" s="47">
        <f t="shared" ref="AL97:AM97" si="49">SUM(AL95:AL96)</f>
        <v>2176930</v>
      </c>
      <c r="AM97" s="47">
        <f t="shared" si="49"/>
        <v>60000</v>
      </c>
      <c r="AN97" s="47">
        <f>SUM(AN95:AN96)</f>
        <v>1012000</v>
      </c>
      <c r="AO97" s="47">
        <f>SUM(AO95:AO96)</f>
        <v>37000</v>
      </c>
      <c r="AP97" s="47">
        <f>SUM(AP95:AP96)</f>
        <v>8622671</v>
      </c>
      <c r="AQ97" s="47">
        <f>SUM(AQ95:AQ96)</f>
        <v>1226066</v>
      </c>
    </row>
    <row r="98" spans="1:43" ht="26.25" hidden="1" customHeight="1" x14ac:dyDescent="0.35">
      <c r="A98" s="25"/>
      <c r="B98" s="25"/>
      <c r="C98" s="25"/>
      <c r="D98" s="25"/>
      <c r="E98" s="25"/>
      <c r="F98" s="25"/>
      <c r="G98" s="26" t="s">
        <v>33</v>
      </c>
      <c r="H98" s="51">
        <v>1407727</v>
      </c>
      <c r="I98" s="51"/>
      <c r="J98" s="51">
        <v>1119202</v>
      </c>
      <c r="K98" s="51"/>
      <c r="L98" s="51">
        <v>358980</v>
      </c>
      <c r="M98" s="51"/>
      <c r="N98" s="52">
        <v>374173</v>
      </c>
      <c r="O98" s="53">
        <f>N98/L98*1-1</f>
        <v>4.2322692071981693E-2</v>
      </c>
      <c r="P98" s="51">
        <f>N98-L98</f>
        <v>15193</v>
      </c>
      <c r="Q98" s="51"/>
      <c r="R98" s="52">
        <v>374173</v>
      </c>
      <c r="S98" s="52">
        <v>333995</v>
      </c>
      <c r="T98" s="53">
        <f t="shared" si="45"/>
        <v>-0.10737813792015993</v>
      </c>
      <c r="U98" s="52">
        <f t="shared" si="46"/>
        <v>-40178</v>
      </c>
      <c r="V98" s="52">
        <v>374173</v>
      </c>
      <c r="W98" s="52">
        <v>374173</v>
      </c>
      <c r="Y98" s="52">
        <v>333995</v>
      </c>
      <c r="Z98" s="52"/>
      <c r="AA98" s="52"/>
      <c r="AB98" s="52"/>
      <c r="AC98" s="52"/>
      <c r="AD98" s="52"/>
      <c r="AE98" s="52">
        <v>166138</v>
      </c>
      <c r="AF98" s="52">
        <v>316527</v>
      </c>
      <c r="AG98" s="52"/>
      <c r="AH98" s="52"/>
      <c r="AI98" s="53">
        <f t="shared" si="43"/>
        <v>0.90520531124727643</v>
      </c>
      <c r="AJ98" s="52">
        <f>AF98-AE98</f>
        <v>150389</v>
      </c>
      <c r="AK98" s="52">
        <f>SUM(AF98)</f>
        <v>316527</v>
      </c>
      <c r="AL98" s="52"/>
      <c r="AM98" s="52"/>
      <c r="AN98" s="52"/>
      <c r="AO98" s="52"/>
      <c r="AP98" s="52"/>
      <c r="AQ98" s="52"/>
    </row>
    <row r="99" spans="1:43" ht="26.25" hidden="1" customHeight="1" x14ac:dyDescent="0.35">
      <c r="A99" s="25"/>
      <c r="B99" s="25"/>
      <c r="C99" s="25"/>
      <c r="D99" s="25"/>
      <c r="E99" s="25"/>
      <c r="F99" s="25"/>
      <c r="G99" s="26" t="s">
        <v>47</v>
      </c>
      <c r="H99" s="51">
        <v>58271</v>
      </c>
      <c r="I99" s="51"/>
      <c r="J99" s="51">
        <v>178172</v>
      </c>
      <c r="K99" s="51"/>
      <c r="L99" s="51">
        <v>708350</v>
      </c>
      <c r="M99" s="51"/>
      <c r="N99" s="52">
        <v>394800</v>
      </c>
      <c r="O99" s="53">
        <f>N99/L99*1-1</f>
        <v>-0.44264840827274654</v>
      </c>
      <c r="P99" s="51">
        <f>N99-L99</f>
        <v>-313550</v>
      </c>
      <c r="Q99" s="51"/>
      <c r="R99" s="52">
        <v>394800</v>
      </c>
      <c r="S99" s="52">
        <v>543850</v>
      </c>
      <c r="T99" s="53">
        <f t="shared" si="45"/>
        <v>0.37753292806484295</v>
      </c>
      <c r="U99" s="52">
        <f t="shared" si="46"/>
        <v>149050</v>
      </c>
      <c r="V99" s="52">
        <v>394800</v>
      </c>
      <c r="W99" s="52">
        <v>394800</v>
      </c>
      <c r="Y99" s="52">
        <v>543850</v>
      </c>
      <c r="Z99" s="52"/>
      <c r="AA99" s="52"/>
      <c r="AB99" s="52"/>
      <c r="AC99" s="52"/>
      <c r="AD99" s="52"/>
      <c r="AE99" s="52">
        <v>201500</v>
      </c>
      <c r="AF99" s="146">
        <v>316527</v>
      </c>
      <c r="AG99" s="146"/>
      <c r="AH99" s="146"/>
      <c r="AI99" s="53">
        <f t="shared" si="43"/>
        <v>0.57085359801488833</v>
      </c>
      <c r="AJ99" s="52">
        <f>AF99-AE99</f>
        <v>115027</v>
      </c>
      <c r="AK99" s="52">
        <f>SUM(AF99)</f>
        <v>316527</v>
      </c>
      <c r="AL99" s="52"/>
      <c r="AM99" s="52"/>
      <c r="AN99" s="52"/>
      <c r="AO99" s="52"/>
      <c r="AP99" s="52"/>
      <c r="AQ99" s="52"/>
    </row>
    <row r="100" spans="1:43" ht="24" hidden="1" customHeight="1" x14ac:dyDescent="0.35">
      <c r="A100" s="14"/>
      <c r="B100" s="14"/>
      <c r="C100" s="14"/>
      <c r="D100" s="14"/>
      <c r="E100" s="14"/>
      <c r="F100" s="14"/>
      <c r="G100" s="54" t="s">
        <v>48</v>
      </c>
      <c r="H100" s="55" t="e">
        <f>H97+H98-H99</f>
        <v>#REF!</v>
      </c>
      <c r="I100" s="55"/>
      <c r="J100" s="55">
        <f>J97+J98-J99</f>
        <v>18085925</v>
      </c>
      <c r="K100" s="55"/>
      <c r="L100" s="55">
        <f>L97+L98-L99</f>
        <v>18194371</v>
      </c>
      <c r="M100" s="55"/>
      <c r="N100" s="55">
        <f>N97+N98-N99</f>
        <v>18784800</v>
      </c>
      <c r="O100" s="56">
        <f>N100/L100*1-1</f>
        <v>3.2451190535798036E-2</v>
      </c>
      <c r="P100" s="55">
        <f>N100-L100</f>
        <v>590429</v>
      </c>
      <c r="Q100" s="55"/>
      <c r="R100" s="55">
        <f>R97+R98-R99</f>
        <v>14836574</v>
      </c>
      <c r="S100" s="55">
        <f>S97+S98-S99</f>
        <v>24335753</v>
      </c>
      <c r="T100" s="56">
        <f t="shared" si="45"/>
        <v>0.29550237426004</v>
      </c>
      <c r="U100" s="55">
        <f t="shared" si="46"/>
        <v>5550953</v>
      </c>
      <c r="V100" s="55">
        <f>V97+V98-V99</f>
        <v>6189592</v>
      </c>
      <c r="W100" s="55">
        <f>W97+W98-W99</f>
        <v>6186152</v>
      </c>
      <c r="Y100" s="55" t="e">
        <f t="shared" ref="Y100:AE100" si="50">Y97+Y98-Y99</f>
        <v>#REF!</v>
      </c>
      <c r="Z100" s="55">
        <f t="shared" si="50"/>
        <v>1043500</v>
      </c>
      <c r="AA100" s="55">
        <f t="shared" si="50"/>
        <v>40000</v>
      </c>
      <c r="AB100" s="55">
        <f t="shared" si="50"/>
        <v>5514915</v>
      </c>
      <c r="AC100" s="55">
        <f t="shared" si="50"/>
        <v>195626</v>
      </c>
      <c r="AD100" s="55">
        <f t="shared" si="50"/>
        <v>22440086</v>
      </c>
      <c r="AE100" s="55">
        <f t="shared" si="50"/>
        <v>27814875</v>
      </c>
      <c r="AF100" s="55">
        <f t="shared" ref="AF100" si="51">AF97+AF98-AF99</f>
        <v>33770407</v>
      </c>
      <c r="AG100" s="55"/>
      <c r="AH100" s="55"/>
      <c r="AI100" s="56">
        <f t="shared" si="43"/>
        <v>0.21411320381630339</v>
      </c>
      <c r="AJ100" s="55">
        <f>AF100-AE100</f>
        <v>5955532</v>
      </c>
      <c r="AK100" s="55">
        <f>AK97+AK98-AK99</f>
        <v>13714070</v>
      </c>
      <c r="AL100" s="55">
        <f t="shared" ref="AL100:AM100" si="52">AL97+AL98-AL99</f>
        <v>2176930</v>
      </c>
      <c r="AM100" s="55">
        <f t="shared" si="52"/>
        <v>60000</v>
      </c>
      <c r="AN100" s="55">
        <f>AN97+AN98-AN99</f>
        <v>1012000</v>
      </c>
      <c r="AO100" s="55">
        <f>AO97+AO98-AO99</f>
        <v>37000</v>
      </c>
      <c r="AP100" s="55">
        <f>AP97+AP98-AP99</f>
        <v>8622671</v>
      </c>
      <c r="AQ100" s="55">
        <f>AQ97+AQ98-AQ99</f>
        <v>1226066</v>
      </c>
    </row>
    <row r="101" spans="1:43" ht="15" hidden="1" customHeight="1" x14ac:dyDescent="0.35">
      <c r="Z101" s="98"/>
      <c r="AL101" s="98">
        <f>SUM(AK100:AM100)</f>
        <v>15951000</v>
      </c>
      <c r="AN101" s="98"/>
    </row>
    <row r="102" spans="1:43" hidden="1" x14ac:dyDescent="0.35">
      <c r="N102" s="34" t="s">
        <v>98</v>
      </c>
      <c r="R102" s="34">
        <f>SUM(R103:R109)</f>
        <v>2085460</v>
      </c>
      <c r="AD102" s="34">
        <f>SUM(AD103:AD109)</f>
        <v>3455326</v>
      </c>
      <c r="AO102" t="s">
        <v>168</v>
      </c>
      <c r="AP102" t="s">
        <v>169</v>
      </c>
    </row>
    <row r="103" spans="1:43" hidden="1" x14ac:dyDescent="0.35">
      <c r="N103" t="s">
        <v>87</v>
      </c>
      <c r="R103">
        <v>1213930</v>
      </c>
      <c r="AD103" s="118">
        <v>600</v>
      </c>
      <c r="AE103" s="118"/>
      <c r="AF103" s="118"/>
      <c r="AG103" s="118"/>
      <c r="AH103" s="118"/>
      <c r="AO103">
        <f>SUM(AD103:AD104)</f>
        <v>297025</v>
      </c>
      <c r="AP103">
        <f>SUM(AD106,AD105)</f>
        <v>2328374.9</v>
      </c>
    </row>
    <row r="104" spans="1:43" hidden="1" x14ac:dyDescent="0.35">
      <c r="AD104" s="118">
        <v>296425</v>
      </c>
      <c r="AE104" s="118" t="s">
        <v>167</v>
      </c>
      <c r="AF104" s="118" t="s">
        <v>167</v>
      </c>
      <c r="AG104" s="118"/>
      <c r="AH104" s="118"/>
      <c r="AI104" s="34">
        <f>SUM(AD103:AD104)</f>
        <v>297025</v>
      </c>
      <c r="AJ104" t="s">
        <v>168</v>
      </c>
      <c r="AP104" t="e">
        <f>SUM(#REF!)</f>
        <v>#REF!</v>
      </c>
    </row>
    <row r="105" spans="1:43" hidden="1" x14ac:dyDescent="0.35">
      <c r="N105" t="s">
        <v>214</v>
      </c>
      <c r="AD105" s="110">
        <v>4732</v>
      </c>
      <c r="AE105" s="110" t="s">
        <v>164</v>
      </c>
      <c r="AF105" s="110" t="s">
        <v>164</v>
      </c>
      <c r="AG105" s="110"/>
      <c r="AH105" s="110"/>
      <c r="AI105">
        <f>SUM(AD103:AD106)</f>
        <v>2625399.9</v>
      </c>
      <c r="AO105">
        <f>SUM(AE111)</f>
        <v>13958440</v>
      </c>
    </row>
    <row r="106" spans="1:43" hidden="1" x14ac:dyDescent="0.35">
      <c r="N106" t="s">
        <v>213</v>
      </c>
      <c r="R106" s="22">
        <v>106335</v>
      </c>
      <c r="AD106" s="22">
        <v>2323642.9</v>
      </c>
      <c r="AO106">
        <f>SUM(AE112)</f>
        <v>3845500</v>
      </c>
      <c r="AP106">
        <f>SUM(AE115:AE117)</f>
        <v>5210300</v>
      </c>
      <c r="AQ106">
        <f>SUM(AO106:AP106)</f>
        <v>9055800</v>
      </c>
    </row>
    <row r="107" spans="1:43" hidden="1" x14ac:dyDescent="0.35">
      <c r="N107" t="s">
        <v>99</v>
      </c>
      <c r="R107">
        <v>431200</v>
      </c>
      <c r="AD107">
        <v>663856.31000000006</v>
      </c>
      <c r="AO107" s="118" t="e">
        <f>SUM(AO103:AO106,AP103:AP106)</f>
        <v>#REF!</v>
      </c>
      <c r="AP107" t="e">
        <f>SUM(AP103:AP106)</f>
        <v>#REF!</v>
      </c>
    </row>
    <row r="108" spans="1:43" hidden="1" x14ac:dyDescent="0.35">
      <c r="N108" t="s">
        <v>166</v>
      </c>
      <c r="AD108">
        <v>148841</v>
      </c>
      <c r="AE108">
        <v>333760</v>
      </c>
      <c r="AK108" s="118">
        <f>SUM(AI105,AE110)</f>
        <v>24598399.899999999</v>
      </c>
      <c r="AL108" s="118"/>
      <c r="AM108" s="118"/>
      <c r="AO108" t="e">
        <f>AK97-AO107</f>
        <v>#REF!</v>
      </c>
    </row>
    <row r="109" spans="1:43" hidden="1" x14ac:dyDescent="0.35">
      <c r="N109" t="s">
        <v>165</v>
      </c>
      <c r="R109">
        <v>333995</v>
      </c>
      <c r="AD109">
        <v>17228.79</v>
      </c>
      <c r="AE109">
        <v>605</v>
      </c>
    </row>
    <row r="110" spans="1:43" hidden="1" x14ac:dyDescent="0.35">
      <c r="N110" s="34" t="s">
        <v>101</v>
      </c>
      <c r="S110" s="34">
        <f>SUM(S114,S111,S112,S115:S117)</f>
        <v>0</v>
      </c>
      <c r="AE110" s="34">
        <f>SUM(AE111:AE114)</f>
        <v>21973000</v>
      </c>
      <c r="AF110" s="34">
        <f>SUM(AF111,AF112,AF115:AF117)</f>
        <v>0</v>
      </c>
      <c r="AG110" s="34"/>
      <c r="AH110" s="34"/>
    </row>
    <row r="111" spans="1:43" hidden="1" x14ac:dyDescent="0.35">
      <c r="N111" t="s">
        <v>100</v>
      </c>
      <c r="AE111">
        <v>13958440</v>
      </c>
    </row>
    <row r="112" spans="1:43" hidden="1" x14ac:dyDescent="0.35">
      <c r="N112" t="s">
        <v>102</v>
      </c>
      <c r="AE112">
        <v>3845500</v>
      </c>
    </row>
    <row r="113" spans="14:42" hidden="1" x14ac:dyDescent="0.35">
      <c r="N113" t="s">
        <v>104</v>
      </c>
      <c r="AE113">
        <v>124740</v>
      </c>
    </row>
    <row r="114" spans="14:42" hidden="1" x14ac:dyDescent="0.35">
      <c r="N114" t="s">
        <v>189</v>
      </c>
      <c r="T114" s="87">
        <f>SUM(S86,S74,S50)</f>
        <v>15714500</v>
      </c>
      <c r="Z114" t="s">
        <v>149</v>
      </c>
      <c r="AB114" t="s">
        <v>152</v>
      </c>
      <c r="AE114">
        <v>4044320</v>
      </c>
      <c r="AF114">
        <f>SUM(AE104,AE103,AF111,AF112)</f>
        <v>0</v>
      </c>
      <c r="AI114" s="87"/>
      <c r="AN114" t="s">
        <v>216</v>
      </c>
      <c r="AP114" t="s">
        <v>152</v>
      </c>
    </row>
    <row r="115" spans="14:42" hidden="1" x14ac:dyDescent="0.35">
      <c r="N115" t="s">
        <v>213</v>
      </c>
      <c r="S115" s="22"/>
      <c r="T115" s="116" t="s">
        <v>153</v>
      </c>
      <c r="U115" t="s">
        <v>106</v>
      </c>
      <c r="AD115" s="116" t="s">
        <v>161</v>
      </c>
      <c r="AE115" s="143">
        <v>4857261</v>
      </c>
      <c r="AF115" s="119"/>
      <c r="AG115" s="147"/>
      <c r="AH115" s="147"/>
      <c r="AI115" s="116" t="s">
        <v>172</v>
      </c>
      <c r="AJ115" t="s">
        <v>160</v>
      </c>
      <c r="AK115" s="34" t="s">
        <v>87</v>
      </c>
      <c r="AN115" s="142">
        <v>5092175.78</v>
      </c>
      <c r="AP115" s="113">
        <f>AN115-AE115</f>
        <v>234914.78000000026</v>
      </c>
    </row>
    <row r="116" spans="14:42" hidden="1" x14ac:dyDescent="0.35">
      <c r="S116" s="22"/>
      <c r="T116" s="116"/>
      <c r="AD116" s="116"/>
      <c r="AE116" s="143">
        <v>6105</v>
      </c>
      <c r="AF116" s="119"/>
      <c r="AG116" s="147"/>
      <c r="AH116" s="147"/>
      <c r="AI116" s="116" t="s">
        <v>171</v>
      </c>
      <c r="AK116" s="114" t="s">
        <v>219</v>
      </c>
      <c r="AN116" s="142">
        <v>6105.46</v>
      </c>
      <c r="AP116" s="113">
        <f>AN116-AE116</f>
        <v>0.46000000000003638</v>
      </c>
    </row>
    <row r="117" spans="14:42" hidden="1" x14ac:dyDescent="0.35">
      <c r="S117" s="22"/>
      <c r="T117" s="116"/>
      <c r="AD117" s="116"/>
      <c r="AE117" s="143">
        <v>346934</v>
      </c>
      <c r="AF117" s="119"/>
      <c r="AG117" s="147"/>
      <c r="AH117" s="147"/>
      <c r="AI117" s="116" t="s">
        <v>170</v>
      </c>
      <c r="AK117" s="114" t="s">
        <v>164</v>
      </c>
      <c r="AN117" s="142">
        <v>346933.88</v>
      </c>
      <c r="AP117" s="113">
        <f>AN117-AE117</f>
        <v>-0.11999999999534339</v>
      </c>
    </row>
    <row r="118" spans="14:42" hidden="1" x14ac:dyDescent="0.35">
      <c r="N118" s="34" t="s">
        <v>103</v>
      </c>
      <c r="S118" s="34">
        <f>SUM(S119:S120)</f>
        <v>0</v>
      </c>
      <c r="Y118" s="114"/>
      <c r="Z118" s="115"/>
      <c r="AB118" s="113"/>
      <c r="AD118" s="116"/>
      <c r="AE118" s="144">
        <f>SUM(AE119:AE120)</f>
        <v>1380787</v>
      </c>
      <c r="AF118" s="34">
        <f>SUM(AF119:AF120)</f>
        <v>0</v>
      </c>
      <c r="AG118" s="34"/>
      <c r="AH118" s="34"/>
      <c r="AK118" s="114"/>
      <c r="AL118" s="114"/>
      <c r="AM118" s="114"/>
      <c r="AN118" s="142"/>
      <c r="AP118" s="113"/>
    </row>
    <row r="119" spans="14:42" hidden="1" x14ac:dyDescent="0.35">
      <c r="N119" t="s">
        <v>215</v>
      </c>
      <c r="Y119" s="114"/>
      <c r="Z119" s="115"/>
      <c r="AB119" s="113"/>
      <c r="AD119" s="116" t="s">
        <v>162</v>
      </c>
      <c r="AE119" s="145">
        <v>1252000</v>
      </c>
      <c r="AK119" s="114"/>
      <c r="AL119" s="114"/>
      <c r="AM119" s="114"/>
      <c r="AN119" s="142"/>
      <c r="AP119" s="113"/>
    </row>
    <row r="120" spans="14:42" hidden="1" x14ac:dyDescent="0.35">
      <c r="N120" t="s">
        <v>213</v>
      </c>
      <c r="S120" s="22"/>
      <c r="U120">
        <f>SUM(R106,S115:S117,S120)</f>
        <v>106335</v>
      </c>
      <c r="Y120" s="114" t="s">
        <v>150</v>
      </c>
      <c r="Z120" s="115">
        <v>64389.24</v>
      </c>
      <c r="AB120" s="113">
        <f>Z120-S120</f>
        <v>64389.24</v>
      </c>
      <c r="AD120" s="116" t="s">
        <v>161</v>
      </c>
      <c r="AE120" s="22">
        <v>128787</v>
      </c>
      <c r="AF120" s="22"/>
      <c r="AG120" s="148"/>
      <c r="AH120" s="148"/>
      <c r="AJ120">
        <f>SUM(AD106,AE115:AE117,AE120)</f>
        <v>7662729.9000000004</v>
      </c>
      <c r="AK120" s="114" t="s">
        <v>150</v>
      </c>
      <c r="AL120" s="114"/>
      <c r="AM120" s="114"/>
      <c r="AN120" s="142">
        <v>128787.16</v>
      </c>
      <c r="AP120" s="113">
        <f>AN120-AE120</f>
        <v>0.16000000000349246</v>
      </c>
    </row>
    <row r="121" spans="14:42" hidden="1" x14ac:dyDescent="0.35">
      <c r="N121" s="34" t="s">
        <v>105</v>
      </c>
      <c r="S121" s="34">
        <f>SUM(S122:S123)</f>
        <v>0</v>
      </c>
      <c r="Y121" s="114"/>
      <c r="Z121" s="115"/>
      <c r="AB121" s="113"/>
      <c r="AD121" s="116"/>
      <c r="AE121" s="34">
        <f>SUM(AE122:AE123)</f>
        <v>94305</v>
      </c>
      <c r="AF121" s="34">
        <f>SUM(AF122:AF123)</f>
        <v>0</v>
      </c>
      <c r="AG121" s="34"/>
      <c r="AH121" s="34"/>
      <c r="AK121" s="114"/>
      <c r="AL121" s="114"/>
      <c r="AM121" s="114"/>
      <c r="AN121" s="142"/>
      <c r="AP121" s="113"/>
    </row>
    <row r="122" spans="14:42" hidden="1" x14ac:dyDescent="0.35">
      <c r="N122">
        <v>2020</v>
      </c>
      <c r="Y122" s="114"/>
      <c r="Z122" s="115"/>
      <c r="AB122" s="113"/>
      <c r="AD122" s="116"/>
      <c r="AE122">
        <v>37000</v>
      </c>
      <c r="AK122" s="114"/>
      <c r="AL122" s="114"/>
      <c r="AM122" s="114"/>
      <c r="AN122" s="142"/>
      <c r="AP122" s="113"/>
    </row>
    <row r="123" spans="14:42" hidden="1" x14ac:dyDescent="0.35">
      <c r="N123" t="s">
        <v>213</v>
      </c>
      <c r="S123" s="22"/>
      <c r="Y123" s="114" t="s">
        <v>105</v>
      </c>
      <c r="Z123" s="115">
        <v>50471.91</v>
      </c>
      <c r="AB123" s="113">
        <f>Z123-S123</f>
        <v>50471.91</v>
      </c>
      <c r="AD123" s="116" t="s">
        <v>161</v>
      </c>
      <c r="AE123" s="22">
        <v>57305</v>
      </c>
      <c r="AF123" s="22"/>
      <c r="AG123" s="148"/>
      <c r="AH123" s="148"/>
      <c r="AK123" s="114" t="s">
        <v>105</v>
      </c>
      <c r="AL123" s="114"/>
      <c r="AM123" s="114"/>
      <c r="AN123" s="142">
        <v>57305.1</v>
      </c>
      <c r="AP123" s="113">
        <f>AN123-AE123</f>
        <v>9.9999999998544808E-2</v>
      </c>
    </row>
    <row r="124" spans="14:42" hidden="1" x14ac:dyDescent="0.35">
      <c r="N124" s="34" t="s">
        <v>108</v>
      </c>
      <c r="S124" s="34">
        <f>SUM(S125:S126)</f>
        <v>0</v>
      </c>
      <c r="Y124" s="114"/>
      <c r="Z124" s="115"/>
      <c r="AB124" s="113"/>
      <c r="AD124" s="116"/>
      <c r="AE124" s="34">
        <f>SUM(AE125:AE126)</f>
        <v>525118</v>
      </c>
      <c r="AF124" s="34">
        <f>SUM(AF125:AF126)</f>
        <v>0</v>
      </c>
      <c r="AG124" s="34"/>
      <c r="AH124" s="34"/>
      <c r="AK124" s="114"/>
      <c r="AL124" s="114"/>
      <c r="AM124" s="114"/>
      <c r="AN124" s="142"/>
      <c r="AP124" s="113"/>
    </row>
    <row r="125" spans="14:42" hidden="1" x14ac:dyDescent="0.35">
      <c r="N125">
        <v>2020</v>
      </c>
      <c r="Y125" s="114"/>
      <c r="Z125" s="115"/>
      <c r="AB125" s="113"/>
      <c r="AD125" s="116"/>
      <c r="AE125" s="120">
        <v>40140</v>
      </c>
      <c r="AF125" s="120"/>
      <c r="AG125" s="120"/>
      <c r="AH125" s="120"/>
      <c r="AK125" s="114"/>
      <c r="AL125" s="114"/>
      <c r="AM125" s="114"/>
      <c r="AN125" s="142"/>
      <c r="AP125" s="113"/>
    </row>
    <row r="126" spans="14:42" hidden="1" x14ac:dyDescent="0.35">
      <c r="N126" t="s">
        <v>213</v>
      </c>
      <c r="S126" s="22"/>
      <c r="Y126" s="114" t="s">
        <v>108</v>
      </c>
      <c r="Z126" s="115">
        <v>694147.48</v>
      </c>
      <c r="AB126" s="113">
        <f>Z126-S126</f>
        <v>694147.48</v>
      </c>
      <c r="AD126" s="116" t="s">
        <v>161</v>
      </c>
      <c r="AE126" s="22">
        <v>484978</v>
      </c>
      <c r="AF126" s="22"/>
      <c r="AG126" s="148"/>
      <c r="AH126" s="148"/>
      <c r="AK126" s="114" t="s">
        <v>108</v>
      </c>
      <c r="AL126" s="114"/>
      <c r="AM126" s="114"/>
      <c r="AN126" s="142">
        <v>484978</v>
      </c>
      <c r="AP126" s="113">
        <f>AN126-AE126</f>
        <v>0</v>
      </c>
    </row>
    <row r="127" spans="14:42" ht="15" hidden="1" thickBot="1" x14ac:dyDescent="0.4">
      <c r="S127" s="89"/>
      <c r="Y127" s="114"/>
      <c r="Z127" s="115"/>
      <c r="AB127" s="113"/>
      <c r="AD127" s="116"/>
      <c r="AE127" s="89"/>
      <c r="AF127" s="89"/>
      <c r="AG127" s="149"/>
      <c r="AH127" s="149"/>
      <c r="AK127" s="114"/>
      <c r="AL127" s="114"/>
      <c r="AM127" s="114"/>
      <c r="AN127" s="115"/>
      <c r="AP127" s="113"/>
    </row>
    <row r="128" spans="14:42" ht="15" hidden="1" thickBot="1" x14ac:dyDescent="0.4">
      <c r="N128" t="s">
        <v>107</v>
      </c>
      <c r="S128" s="88">
        <f>SUM(S115:S117,S120,S123,S126)</f>
        <v>0</v>
      </c>
      <c r="Y128" s="114" t="s">
        <v>151</v>
      </c>
      <c r="Z128" s="115">
        <f>SUM(Z118:Z127)</f>
        <v>809008.63</v>
      </c>
      <c r="AB128" s="113"/>
      <c r="AD128" s="116"/>
      <c r="AE128" s="88">
        <f>SUM(AE115:AE117,AE120,AE123,AE126)</f>
        <v>5881370</v>
      </c>
      <c r="AF128" s="88">
        <f>SUM(AE106,AF115,AF120,AF123,AF126)</f>
        <v>0</v>
      </c>
      <c r="AG128" s="150"/>
      <c r="AH128" s="150"/>
      <c r="AK128" s="114" t="s">
        <v>151</v>
      </c>
      <c r="AL128" s="114"/>
      <c r="AM128" s="114"/>
      <c r="AN128" s="142">
        <f>SUM(AN115:AN127)</f>
        <v>6116285.3799999999</v>
      </c>
      <c r="AP128" s="113">
        <f>SUM(AP115:AP127)</f>
        <v>234915.38000000027</v>
      </c>
    </row>
    <row r="129" spans="1:36" ht="26.15" customHeight="1" x14ac:dyDescent="0.35">
      <c r="G129" s="363" t="s">
        <v>240</v>
      </c>
      <c r="H129" s="363"/>
      <c r="I129" s="363"/>
      <c r="J129" s="363"/>
      <c r="K129" s="363"/>
      <c r="L129" s="363"/>
      <c r="M129" s="363"/>
      <c r="N129" s="363"/>
      <c r="O129" s="363"/>
      <c r="P129" s="363"/>
      <c r="Q129" s="363"/>
      <c r="R129" s="363"/>
      <c r="S129" s="363"/>
      <c r="T129" s="363"/>
      <c r="U129" s="363"/>
      <c r="V129" s="363"/>
      <c r="W129" s="363"/>
      <c r="X129" s="363"/>
      <c r="Y129" s="363"/>
      <c r="Z129" s="363"/>
      <c r="AA129" s="363"/>
      <c r="AB129" s="363"/>
      <c r="AC129" s="363"/>
      <c r="AD129" s="363"/>
      <c r="AE129" s="363"/>
      <c r="AF129" s="363"/>
      <c r="AH129" s="166">
        <f>SUM(AH18,AH19,AH20,AH23,AH24)*(-1)+29000</f>
        <v>-331000</v>
      </c>
    </row>
    <row r="130" spans="1:36" ht="27" customHeight="1" x14ac:dyDescent="0.35">
      <c r="A130" s="364" t="s">
        <v>239</v>
      </c>
      <c r="B130" s="364"/>
      <c r="C130" s="364"/>
      <c r="D130" s="364"/>
      <c r="E130" s="364"/>
      <c r="F130" s="364"/>
      <c r="G130" s="364"/>
      <c r="N130" s="173">
        <v>11462000</v>
      </c>
      <c r="O130" s="173"/>
      <c r="P130" s="173"/>
      <c r="Q130" s="173"/>
      <c r="R130" s="173"/>
      <c r="S130" s="173">
        <v>15087000</v>
      </c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73"/>
      <c r="AE130" s="173">
        <v>15438000</v>
      </c>
      <c r="AF130" s="173">
        <v>16070000</v>
      </c>
      <c r="AG130" s="174"/>
      <c r="AH130" s="173">
        <f>SUM(AH50,AH129)</f>
        <v>14104000</v>
      </c>
      <c r="AI130" s="175">
        <f>AH130/AF130*1-1</f>
        <v>-0.12233976353453635</v>
      </c>
      <c r="AJ130" s="176">
        <f>AH130-AF130</f>
        <v>-1966000</v>
      </c>
    </row>
    <row r="131" spans="1:36" ht="32.5" customHeight="1" x14ac:dyDescent="0.35">
      <c r="G131" s="177" t="s">
        <v>244</v>
      </c>
      <c r="H131" s="178"/>
      <c r="I131" s="178"/>
      <c r="J131" s="178"/>
      <c r="K131" s="178"/>
      <c r="L131" s="178"/>
      <c r="M131" s="178"/>
      <c r="N131" s="179">
        <v>1226987.6200000001</v>
      </c>
      <c r="O131" s="179"/>
      <c r="P131" s="179"/>
      <c r="Q131" s="179"/>
      <c r="R131" s="179"/>
      <c r="S131" s="179">
        <v>1810686.49</v>
      </c>
      <c r="T131" s="179"/>
      <c r="U131" s="179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>
        <v>3342492.57</v>
      </c>
      <c r="AF131" s="179">
        <v>5092175.78</v>
      </c>
      <c r="AG131" s="174"/>
      <c r="AH131" s="174">
        <v>740000</v>
      </c>
      <c r="AI131" s="174"/>
      <c r="AJ131" s="174"/>
    </row>
    <row r="132" spans="1:36" ht="27" customHeight="1" x14ac:dyDescent="0.35">
      <c r="A132" s="365" t="s">
        <v>245</v>
      </c>
      <c r="B132" s="365"/>
      <c r="C132" s="365"/>
      <c r="D132" s="365"/>
      <c r="E132" s="365"/>
      <c r="F132" s="365"/>
      <c r="G132" s="365"/>
      <c r="H132" s="3"/>
      <c r="I132" s="3"/>
      <c r="J132" s="3"/>
      <c r="K132" s="3"/>
      <c r="L132" s="3"/>
      <c r="M132" s="3"/>
      <c r="N132" s="17">
        <f t="shared" ref="N132:AE132" si="53">SUM(N130:N131)</f>
        <v>12688987.620000001</v>
      </c>
      <c r="O132" s="17">
        <f t="shared" si="53"/>
        <v>0</v>
      </c>
      <c r="P132" s="17">
        <f t="shared" si="53"/>
        <v>0</v>
      </c>
      <c r="Q132" s="17">
        <f t="shared" si="53"/>
        <v>0</v>
      </c>
      <c r="R132" s="17">
        <f t="shared" si="53"/>
        <v>0</v>
      </c>
      <c r="S132" s="17">
        <f t="shared" si="53"/>
        <v>16897686.489999998</v>
      </c>
      <c r="T132" s="17">
        <f t="shared" si="53"/>
        <v>0</v>
      </c>
      <c r="U132" s="17">
        <f t="shared" si="53"/>
        <v>0</v>
      </c>
      <c r="V132" s="17">
        <f t="shared" si="53"/>
        <v>0</v>
      </c>
      <c r="W132" s="17">
        <f t="shared" si="53"/>
        <v>0</v>
      </c>
      <c r="X132" s="17">
        <f t="shared" si="53"/>
        <v>0</v>
      </c>
      <c r="Y132" s="17">
        <f t="shared" si="53"/>
        <v>0</v>
      </c>
      <c r="Z132" s="17">
        <f t="shared" si="53"/>
        <v>0</v>
      </c>
      <c r="AA132" s="17">
        <f t="shared" si="53"/>
        <v>0</v>
      </c>
      <c r="AB132" s="17">
        <f t="shared" si="53"/>
        <v>0</v>
      </c>
      <c r="AC132" s="17">
        <f t="shared" si="53"/>
        <v>0</v>
      </c>
      <c r="AD132" s="17">
        <f t="shared" si="53"/>
        <v>0</v>
      </c>
      <c r="AE132" s="17">
        <f t="shared" si="53"/>
        <v>18780492.57</v>
      </c>
      <c r="AF132" s="17">
        <f>SUM(AF130:AF131)</f>
        <v>21162175.780000001</v>
      </c>
      <c r="AG132" s="3"/>
      <c r="AH132" s="17">
        <f>SUM(AH130:AH131)</f>
        <v>14844000</v>
      </c>
      <c r="AI132" s="175">
        <f>AH132/AF132*1-1</f>
        <v>-0.29855983834947619</v>
      </c>
      <c r="AJ132" s="176">
        <f>AH132-AF132</f>
        <v>-6318175.7800000012</v>
      </c>
    </row>
    <row r="133" spans="1:36" x14ac:dyDescent="0.35">
      <c r="G133" s="2" t="s">
        <v>246</v>
      </c>
      <c r="N133" s="180">
        <v>1638000</v>
      </c>
      <c r="AF133">
        <v>21162176</v>
      </c>
      <c r="AH133">
        <f>SUM(AH132,N133)</f>
        <v>16482000</v>
      </c>
      <c r="AI133" s="175">
        <f>AH133/AF133*1-1</f>
        <v>-0.22115759740397212</v>
      </c>
      <c r="AJ133" s="176">
        <f>AH133-AF133</f>
        <v>-4680176</v>
      </c>
    </row>
    <row r="136" spans="1:36" x14ac:dyDescent="0.35">
      <c r="G136" s="4" t="s">
        <v>241</v>
      </c>
      <c r="H136" s="3"/>
      <c r="I136" s="3"/>
      <c r="J136" s="3"/>
      <c r="K136" s="3"/>
      <c r="L136" s="3"/>
      <c r="M136" s="3"/>
      <c r="N136" s="3">
        <v>19776</v>
      </c>
      <c r="O136" s="3"/>
      <c r="P136" s="3"/>
      <c r="Q136" s="3"/>
      <c r="R136" s="3"/>
      <c r="S136" s="3">
        <v>24278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>
        <v>23544</v>
      </c>
      <c r="AF136" s="3">
        <v>22722</v>
      </c>
      <c r="AG136" s="3"/>
      <c r="AH136" s="3">
        <v>22497</v>
      </c>
    </row>
    <row r="137" spans="1:36" ht="26.5" x14ac:dyDescent="0.35">
      <c r="G137" s="167" t="s">
        <v>243</v>
      </c>
      <c r="H137" s="3"/>
      <c r="I137" s="3"/>
      <c r="J137" s="3"/>
      <c r="K137" s="3"/>
      <c r="L137" s="3"/>
      <c r="M137" s="3"/>
      <c r="N137" s="3">
        <v>7684</v>
      </c>
      <c r="O137" s="3"/>
      <c r="P137" s="3"/>
      <c r="Q137" s="3"/>
      <c r="R137" s="3"/>
      <c r="S137" s="3">
        <v>11037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>
        <v>9833</v>
      </c>
      <c r="AF137" s="3">
        <v>10007</v>
      </c>
      <c r="AG137" s="3"/>
      <c r="AH137" s="3">
        <v>8890</v>
      </c>
    </row>
    <row r="138" spans="1:36" x14ac:dyDescent="0.35">
      <c r="G138" s="4" t="s">
        <v>242</v>
      </c>
      <c r="H138" s="3"/>
      <c r="I138" s="3"/>
      <c r="J138" s="3"/>
      <c r="K138" s="3"/>
      <c r="L138" s="3"/>
      <c r="M138" s="3"/>
      <c r="N138" s="3">
        <v>0.3886</v>
      </c>
      <c r="O138" s="3"/>
      <c r="P138" s="3"/>
      <c r="Q138" s="3"/>
      <c r="R138" s="3"/>
      <c r="S138" s="3">
        <v>0.4546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0.41760000000000003</v>
      </c>
      <c r="AF138" s="3">
        <v>0.44040000000000001</v>
      </c>
      <c r="AG138" s="3"/>
      <c r="AH138" s="3">
        <v>0.3952</v>
      </c>
    </row>
  </sheetData>
  <mergeCells count="32">
    <mergeCell ref="Q4:Q5"/>
    <mergeCell ref="A130:G130"/>
    <mergeCell ref="G129:AF129"/>
    <mergeCell ref="H4:H5"/>
    <mergeCell ref="J4:J5"/>
    <mergeCell ref="A4:G5"/>
    <mergeCell ref="A54:G54"/>
    <mergeCell ref="S4:S5"/>
    <mergeCell ref="T4:U4"/>
    <mergeCell ref="A50:G50"/>
    <mergeCell ref="A48:G48"/>
    <mergeCell ref="O4:P4"/>
    <mergeCell ref="A7:G7"/>
    <mergeCell ref="A6:G6"/>
    <mergeCell ref="I4:I5"/>
    <mergeCell ref="K4:K5"/>
    <mergeCell ref="A132:G132"/>
    <mergeCell ref="A2:AQ2"/>
    <mergeCell ref="AK4:AQ4"/>
    <mergeCell ref="AD4:AD5"/>
    <mergeCell ref="AE4:AE5"/>
    <mergeCell ref="AI4:AJ4"/>
    <mergeCell ref="L4:L5"/>
    <mergeCell ref="N4:N5"/>
    <mergeCell ref="AF4:AF5"/>
    <mergeCell ref="AH4:AH5"/>
    <mergeCell ref="AG4:AG5"/>
    <mergeCell ref="Y4:AC4"/>
    <mergeCell ref="R4:R5"/>
    <mergeCell ref="V4:V5"/>
    <mergeCell ref="W4:W5"/>
    <mergeCell ref="M4:M5"/>
  </mergeCells>
  <pageMargins left="0.31496062992125984" right="0" top="0.55118110236220474" bottom="0" header="0.31496062992125984" footer="0.31496062992125984"/>
  <pageSetup paperSize="9" scale="80" orientation="portrait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sqref="A1:G1"/>
    </sheetView>
  </sheetViews>
  <sheetFormatPr defaultRowHeight="14.5" x14ac:dyDescent="0.35"/>
  <cols>
    <col min="1" max="1" width="41" customWidth="1"/>
    <col min="2" max="2" width="16.81640625" customWidth="1"/>
    <col min="3" max="3" width="17.54296875" customWidth="1"/>
    <col min="4" max="4" width="11.81640625" customWidth="1"/>
  </cols>
  <sheetData>
    <row r="1" spans="1:7" x14ac:dyDescent="0.35">
      <c r="A1" s="366"/>
      <c r="B1" s="366"/>
      <c r="C1" s="366"/>
      <c r="D1" s="366"/>
      <c r="E1" s="366"/>
      <c r="F1" s="366"/>
      <c r="G1" s="366"/>
    </row>
    <row r="3" spans="1:7" ht="30.65" customHeight="1" x14ac:dyDescent="0.35">
      <c r="A3" s="367" t="s">
        <v>175</v>
      </c>
      <c r="B3" s="367" t="s">
        <v>176</v>
      </c>
      <c r="C3" s="367" t="s">
        <v>177</v>
      </c>
      <c r="D3" s="369" t="s">
        <v>198</v>
      </c>
      <c r="E3" s="371" t="s">
        <v>199</v>
      </c>
      <c r="F3" s="371"/>
      <c r="G3" s="371"/>
    </row>
    <row r="4" spans="1:7" ht="55.4" customHeight="1" x14ac:dyDescent="0.35">
      <c r="A4" s="368"/>
      <c r="B4" s="368"/>
      <c r="C4" s="368"/>
      <c r="D4" s="370"/>
      <c r="E4" s="121" t="s">
        <v>202</v>
      </c>
      <c r="F4" s="121" t="s">
        <v>200</v>
      </c>
      <c r="G4" s="121" t="s">
        <v>201</v>
      </c>
    </row>
    <row r="5" spans="1:7" ht="30" x14ac:dyDescent="0.35">
      <c r="A5" s="129" t="s">
        <v>178</v>
      </c>
      <c r="B5" s="17">
        <f>SUM(B20,B17,B13,B9,B7)</f>
        <v>15525690</v>
      </c>
      <c r="C5" s="17">
        <f>SUM(C20,C17,C13,C9,C7)</f>
        <v>18682520</v>
      </c>
      <c r="D5" s="17">
        <f>B5-C5</f>
        <v>-3156830</v>
      </c>
      <c r="E5" s="17">
        <f t="shared" ref="E5:G5" si="0">SUM(E20,E17,E13,E9,E7)</f>
        <v>-321800</v>
      </c>
      <c r="F5" s="17">
        <f t="shared" si="0"/>
        <v>3312492</v>
      </c>
      <c r="G5" s="17">
        <f t="shared" si="0"/>
        <v>166138</v>
      </c>
    </row>
    <row r="6" spans="1:7" ht="15.5" x14ac:dyDescent="0.35">
      <c r="A6" s="123" t="s">
        <v>5</v>
      </c>
      <c r="B6" s="3"/>
      <c r="C6" s="3"/>
      <c r="D6" s="3"/>
      <c r="E6" s="3"/>
      <c r="F6" s="3"/>
      <c r="G6" s="3"/>
    </row>
    <row r="7" spans="1:7" ht="15.5" x14ac:dyDescent="0.35">
      <c r="A7" s="127" t="s">
        <v>191</v>
      </c>
      <c r="B7" s="128">
        <v>12198720</v>
      </c>
      <c r="C7" s="128">
        <v>12198720</v>
      </c>
      <c r="D7" s="17">
        <f t="shared" ref="D7:D31" si="1">B7-C7</f>
        <v>0</v>
      </c>
      <c r="E7" s="3"/>
      <c r="F7" s="17"/>
      <c r="G7" s="3"/>
    </row>
    <row r="8" spans="1:7" ht="23" x14ac:dyDescent="0.35">
      <c r="A8" s="126" t="s">
        <v>192</v>
      </c>
      <c r="B8" s="125">
        <v>1548085</v>
      </c>
      <c r="C8" s="125">
        <v>1771595</v>
      </c>
      <c r="D8" s="125">
        <f t="shared" si="1"/>
        <v>-223510</v>
      </c>
      <c r="E8" s="3"/>
      <c r="F8" s="3"/>
      <c r="G8" s="3"/>
    </row>
    <row r="9" spans="1:7" ht="15.5" x14ac:dyDescent="0.35">
      <c r="A9" s="127" t="s">
        <v>102</v>
      </c>
      <c r="B9" s="128">
        <v>2708745</v>
      </c>
      <c r="C9" s="128">
        <v>3594977</v>
      </c>
      <c r="D9" s="17">
        <f t="shared" si="1"/>
        <v>-886232</v>
      </c>
      <c r="E9" s="3"/>
      <c r="F9" s="17">
        <v>886232</v>
      </c>
      <c r="G9" s="3"/>
    </row>
    <row r="10" spans="1:7" ht="23" x14ac:dyDescent="0.35">
      <c r="A10" s="126" t="s">
        <v>192</v>
      </c>
      <c r="B10" s="125">
        <v>282420</v>
      </c>
      <c r="C10" s="125">
        <v>524070</v>
      </c>
      <c r="D10" s="125">
        <f t="shared" si="1"/>
        <v>-241650</v>
      </c>
      <c r="E10" s="3"/>
      <c r="F10" s="3">
        <v>241650</v>
      </c>
      <c r="G10" s="3"/>
    </row>
    <row r="11" spans="1:7" x14ac:dyDescent="0.35">
      <c r="A11" s="126" t="s">
        <v>193</v>
      </c>
      <c r="B11" s="125">
        <v>80000</v>
      </c>
      <c r="C11" s="125">
        <v>320067</v>
      </c>
      <c r="D11" s="125">
        <f t="shared" si="1"/>
        <v>-240067</v>
      </c>
      <c r="E11" s="3"/>
      <c r="F11" s="3">
        <v>240067</v>
      </c>
      <c r="G11" s="3"/>
    </row>
    <row r="12" spans="1:7" x14ac:dyDescent="0.35">
      <c r="A12" s="126" t="s">
        <v>194</v>
      </c>
      <c r="B12" s="125"/>
      <c r="C12" s="125">
        <v>6001</v>
      </c>
      <c r="D12" s="125">
        <f t="shared" si="1"/>
        <v>-6001</v>
      </c>
      <c r="E12" s="3"/>
      <c r="F12" s="3">
        <v>6001</v>
      </c>
      <c r="G12" s="3"/>
    </row>
    <row r="13" spans="1:7" ht="15.5" x14ac:dyDescent="0.35">
      <c r="A13" s="127" t="s">
        <v>189</v>
      </c>
      <c r="B13" s="128">
        <f>SUM(B15,B14)</f>
        <v>296425</v>
      </c>
      <c r="C13" s="128">
        <v>2774053</v>
      </c>
      <c r="D13" s="17">
        <f t="shared" si="1"/>
        <v>-2477628</v>
      </c>
      <c r="E13" s="3"/>
      <c r="F13" s="17">
        <v>2311490</v>
      </c>
      <c r="G13" s="17">
        <v>166138</v>
      </c>
    </row>
    <row r="14" spans="1:7" x14ac:dyDescent="0.35">
      <c r="A14" s="126" t="s">
        <v>195</v>
      </c>
      <c r="B14" s="125"/>
      <c r="C14" s="125">
        <v>166138</v>
      </c>
      <c r="D14" s="125">
        <f t="shared" si="1"/>
        <v>-166138</v>
      </c>
      <c r="E14" s="3"/>
      <c r="F14" s="3"/>
      <c r="G14" s="3"/>
    </row>
    <row r="15" spans="1:7" ht="23" x14ac:dyDescent="0.35">
      <c r="A15" s="126" t="s">
        <v>192</v>
      </c>
      <c r="B15" s="125">
        <v>296425</v>
      </c>
      <c r="C15" s="125">
        <v>346425</v>
      </c>
      <c r="D15" s="125">
        <f t="shared" si="1"/>
        <v>-50000</v>
      </c>
      <c r="E15" s="3"/>
      <c r="F15" s="3"/>
      <c r="G15" s="3"/>
    </row>
    <row r="16" spans="1:7" x14ac:dyDescent="0.35">
      <c r="A16" s="126" t="s">
        <v>193</v>
      </c>
      <c r="B16" s="125"/>
      <c r="C16" s="125">
        <v>4732</v>
      </c>
      <c r="D16" s="125">
        <f t="shared" si="1"/>
        <v>-4732</v>
      </c>
      <c r="E16" s="3"/>
      <c r="F16" s="3">
        <v>4732</v>
      </c>
      <c r="G16" s="3"/>
    </row>
    <row r="17" spans="1:8" ht="15.5" x14ac:dyDescent="0.35">
      <c r="A17" s="127" t="s">
        <v>190</v>
      </c>
      <c r="B17" s="128"/>
      <c r="C17" s="128">
        <v>114770</v>
      </c>
      <c r="D17" s="17">
        <f t="shared" si="1"/>
        <v>-114770</v>
      </c>
      <c r="E17" s="3"/>
      <c r="F17" s="17">
        <v>114770</v>
      </c>
      <c r="G17" s="3"/>
    </row>
    <row r="18" spans="1:8" ht="23" x14ac:dyDescent="0.35">
      <c r="A18" s="126" t="s">
        <v>192</v>
      </c>
      <c r="B18" s="125"/>
      <c r="C18" s="125">
        <v>72611</v>
      </c>
      <c r="D18" s="125">
        <f t="shared" si="1"/>
        <v>-72611</v>
      </c>
      <c r="E18" s="3"/>
      <c r="F18" s="3"/>
      <c r="G18" s="3"/>
    </row>
    <row r="19" spans="1:8" x14ac:dyDescent="0.35">
      <c r="A19" s="126" t="s">
        <v>196</v>
      </c>
      <c r="B19" s="125"/>
      <c r="C19" s="125">
        <v>21885</v>
      </c>
      <c r="D19" s="125">
        <f t="shared" si="1"/>
        <v>-21885</v>
      </c>
      <c r="E19" s="3"/>
      <c r="F19" s="3"/>
      <c r="G19" s="3"/>
    </row>
    <row r="20" spans="1:8" x14ac:dyDescent="0.35">
      <c r="A20" s="130" t="s">
        <v>203</v>
      </c>
      <c r="B20" s="128">
        <v>321800</v>
      </c>
      <c r="C20" s="125"/>
      <c r="D20" s="17">
        <f t="shared" si="1"/>
        <v>321800</v>
      </c>
      <c r="E20" s="17">
        <v>-321800</v>
      </c>
      <c r="F20" s="3"/>
      <c r="G20" s="3"/>
    </row>
    <row r="21" spans="1:8" ht="45" x14ac:dyDescent="0.35">
      <c r="A21" s="129" t="s">
        <v>179</v>
      </c>
      <c r="B21" s="17">
        <v>550000</v>
      </c>
      <c r="C21" s="17">
        <v>871800</v>
      </c>
      <c r="D21" s="17">
        <f t="shared" si="1"/>
        <v>-321800</v>
      </c>
      <c r="E21" s="17">
        <v>321800</v>
      </c>
      <c r="F21" s="3"/>
      <c r="G21" s="3"/>
    </row>
    <row r="22" spans="1:8" ht="15" x14ac:dyDescent="0.35">
      <c r="A22" s="129" t="s">
        <v>180</v>
      </c>
      <c r="B22" s="17">
        <v>1168660</v>
      </c>
      <c r="C22" s="17">
        <v>1269700</v>
      </c>
      <c r="D22" s="17">
        <f t="shared" si="1"/>
        <v>-101040</v>
      </c>
      <c r="E22" s="3"/>
      <c r="F22" s="17">
        <v>101040</v>
      </c>
      <c r="G22" s="3"/>
    </row>
    <row r="23" spans="1:8" ht="15" x14ac:dyDescent="0.35">
      <c r="A23" s="129" t="s">
        <v>181</v>
      </c>
      <c r="B23" s="17">
        <v>39000</v>
      </c>
      <c r="C23" s="17">
        <v>104248</v>
      </c>
      <c r="D23" s="17">
        <f t="shared" si="1"/>
        <v>-65248</v>
      </c>
      <c r="E23" s="3"/>
      <c r="F23" s="17">
        <v>65248</v>
      </c>
      <c r="G23" s="3"/>
    </row>
    <row r="24" spans="1:8" ht="30" x14ac:dyDescent="0.35">
      <c r="A24" s="129" t="s">
        <v>182</v>
      </c>
      <c r="B24" s="17">
        <v>497944</v>
      </c>
      <c r="C24" s="17">
        <v>723874</v>
      </c>
      <c r="D24" s="17">
        <f t="shared" si="1"/>
        <v>-225930</v>
      </c>
      <c r="E24" s="3"/>
      <c r="F24" s="17">
        <v>225930</v>
      </c>
      <c r="G24" s="3"/>
    </row>
    <row r="25" spans="1:8" ht="15" x14ac:dyDescent="0.35">
      <c r="A25" s="129"/>
      <c r="B25" s="17"/>
      <c r="C25" s="17"/>
      <c r="D25" s="17">
        <f t="shared" si="1"/>
        <v>0</v>
      </c>
      <c r="E25" s="3"/>
      <c r="F25" s="3"/>
      <c r="G25" s="3"/>
    </row>
    <row r="26" spans="1:8" ht="30" x14ac:dyDescent="0.35">
      <c r="A26" s="129" t="s">
        <v>183</v>
      </c>
      <c r="B26" s="17">
        <v>4356200</v>
      </c>
      <c r="C26" s="17">
        <v>4356200</v>
      </c>
      <c r="D26" s="17">
        <f t="shared" si="1"/>
        <v>0</v>
      </c>
      <c r="E26" s="3"/>
      <c r="F26" s="3"/>
      <c r="G26" s="3"/>
    </row>
    <row r="27" spans="1:8" ht="30" x14ac:dyDescent="0.35">
      <c r="A27" s="129" t="s">
        <v>184</v>
      </c>
      <c r="B27" s="17">
        <v>1118202</v>
      </c>
      <c r="C27" s="17">
        <v>1118202</v>
      </c>
      <c r="D27" s="17">
        <f t="shared" si="1"/>
        <v>0</v>
      </c>
      <c r="E27" s="3"/>
      <c r="F27" s="3"/>
      <c r="G27" s="3"/>
    </row>
    <row r="28" spans="1:8" ht="60" x14ac:dyDescent="0.35">
      <c r="A28" s="129" t="s">
        <v>185</v>
      </c>
      <c r="B28" s="17">
        <v>24300</v>
      </c>
      <c r="C28" s="17">
        <v>24300</v>
      </c>
      <c r="D28" s="17">
        <f t="shared" si="1"/>
        <v>0</v>
      </c>
      <c r="E28" s="3"/>
      <c r="F28" s="3"/>
      <c r="G28" s="3"/>
    </row>
    <row r="29" spans="1:8" ht="75" x14ac:dyDescent="0.35">
      <c r="A29" s="129" t="s">
        <v>186</v>
      </c>
      <c r="B29" s="17">
        <v>663856</v>
      </c>
      <c r="C29" s="17">
        <v>663856</v>
      </c>
      <c r="D29" s="17">
        <f t="shared" si="1"/>
        <v>0</v>
      </c>
      <c r="E29" s="3"/>
      <c r="F29" s="3"/>
      <c r="G29" s="3"/>
    </row>
    <row r="30" spans="1:8" ht="25.75" customHeight="1" x14ac:dyDescent="0.35">
      <c r="A30" s="129" t="s">
        <v>187</v>
      </c>
      <c r="B30" s="17">
        <v>0</v>
      </c>
      <c r="C30" s="17"/>
      <c r="D30" s="17">
        <f t="shared" si="1"/>
        <v>0</v>
      </c>
      <c r="E30" s="3"/>
      <c r="F30" s="3"/>
      <c r="G30" s="3"/>
    </row>
    <row r="31" spans="1:8" ht="32.5" customHeight="1" x14ac:dyDescent="0.35">
      <c r="A31" s="122" t="s">
        <v>197</v>
      </c>
      <c r="B31" s="17">
        <v>49700</v>
      </c>
      <c r="C31" s="17">
        <v>49700</v>
      </c>
      <c r="D31" s="17">
        <f t="shared" si="1"/>
        <v>0</v>
      </c>
      <c r="E31" s="3"/>
      <c r="F31" s="3"/>
      <c r="G31" s="3"/>
    </row>
    <row r="32" spans="1:8" ht="31.4" customHeight="1" x14ac:dyDescent="0.35">
      <c r="A32" s="124" t="s">
        <v>188</v>
      </c>
      <c r="B32" s="17">
        <f>SUM(B5,B21,B22,B23,B24,B26,B27,B28,B29,B31)</f>
        <v>23993552</v>
      </c>
      <c r="C32" s="17">
        <f>SUM(C5,C21,C22,C23,C24,C26,C27,C28,C29,C31)</f>
        <v>27864400</v>
      </c>
      <c r="D32" s="17">
        <f>SUM(D5,D21,D22,D23,D24,D26,D27,D28,D29,D31)</f>
        <v>-3870848</v>
      </c>
      <c r="E32" s="17">
        <f t="shared" ref="E32:G32" si="2">SUM(E5,E21,E22,E23,E24,E26,E27,E28,E29,E31)</f>
        <v>0</v>
      </c>
      <c r="F32" s="17">
        <f t="shared" si="2"/>
        <v>3704710</v>
      </c>
      <c r="G32" s="17">
        <f t="shared" si="2"/>
        <v>166138</v>
      </c>
      <c r="H32" s="131"/>
    </row>
  </sheetData>
  <mergeCells count="6">
    <mergeCell ref="A1:G1"/>
    <mergeCell ref="A3:A4"/>
    <mergeCell ref="B3:B4"/>
    <mergeCell ref="C3:C4"/>
    <mergeCell ref="D3:D4"/>
    <mergeCell ref="E3:G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workbookViewId="0"/>
  </sheetViews>
  <sheetFormatPr defaultRowHeight="14.5" x14ac:dyDescent="0.35"/>
  <cols>
    <col min="1" max="1" width="25.81640625" customWidth="1"/>
  </cols>
  <sheetData>
    <row r="1" spans="1:12" x14ac:dyDescent="0.35">
      <c r="A1" s="34" t="s">
        <v>116</v>
      </c>
    </row>
    <row r="2" spans="1:12" ht="15" thickBot="1" x14ac:dyDescent="0.4"/>
    <row r="3" spans="1:12" x14ac:dyDescent="0.35">
      <c r="A3" s="3" t="s">
        <v>109</v>
      </c>
      <c r="B3" s="3">
        <v>-5660</v>
      </c>
      <c r="C3" s="3">
        <v>-4758</v>
      </c>
      <c r="D3" s="3">
        <v>-2719</v>
      </c>
      <c r="E3" s="3">
        <v>-3085</v>
      </c>
      <c r="F3" s="3">
        <v>-371</v>
      </c>
      <c r="G3" s="3"/>
      <c r="H3" s="3"/>
      <c r="I3" s="3"/>
      <c r="J3" s="3"/>
      <c r="K3" s="90">
        <f>SUM(B3:J3)</f>
        <v>-16593</v>
      </c>
      <c r="L3" s="91">
        <v>-16600</v>
      </c>
    </row>
    <row r="4" spans="1:12" x14ac:dyDescent="0.35">
      <c r="A4" s="3" t="s">
        <v>110</v>
      </c>
      <c r="B4" s="3"/>
      <c r="C4" s="3"/>
      <c r="D4" s="3">
        <v>2719</v>
      </c>
      <c r="E4" s="3"/>
      <c r="F4" s="3"/>
      <c r="G4" s="3"/>
      <c r="H4" s="3">
        <v>-147</v>
      </c>
      <c r="I4" s="3"/>
      <c r="J4" s="3">
        <v>1282</v>
      </c>
      <c r="K4" s="90">
        <f t="shared" ref="K4:K9" si="0">SUM(B4:J4)</f>
        <v>3854</v>
      </c>
      <c r="L4" s="92">
        <v>3800</v>
      </c>
    </row>
    <row r="5" spans="1:12" x14ac:dyDescent="0.35">
      <c r="A5" s="3" t="s">
        <v>115</v>
      </c>
      <c r="B5" s="3"/>
      <c r="C5" s="3"/>
      <c r="D5" s="3"/>
      <c r="E5" s="3">
        <v>3085</v>
      </c>
      <c r="F5" s="3"/>
      <c r="G5" s="3"/>
      <c r="H5" s="3"/>
      <c r="I5" s="3">
        <v>-1019</v>
      </c>
      <c r="J5" s="3"/>
      <c r="K5" s="90">
        <f t="shared" si="0"/>
        <v>2066</v>
      </c>
      <c r="L5" s="92">
        <v>2100</v>
      </c>
    </row>
    <row r="6" spans="1:12" x14ac:dyDescent="0.35">
      <c r="A6" s="3" t="s">
        <v>111</v>
      </c>
      <c r="B6" s="3"/>
      <c r="C6" s="3"/>
      <c r="D6" s="3"/>
      <c r="E6" s="3"/>
      <c r="F6" s="3">
        <v>371</v>
      </c>
      <c r="G6" s="3"/>
      <c r="H6" s="3"/>
      <c r="I6" s="3">
        <v>1019</v>
      </c>
      <c r="J6" s="3"/>
      <c r="K6" s="90">
        <f t="shared" si="0"/>
        <v>1390</v>
      </c>
      <c r="L6" s="92">
        <v>1400</v>
      </c>
    </row>
    <row r="7" spans="1:12" x14ac:dyDescent="0.35">
      <c r="A7" s="3" t="s">
        <v>112</v>
      </c>
      <c r="B7" s="3">
        <v>5660</v>
      </c>
      <c r="C7" s="3"/>
      <c r="D7" s="3"/>
      <c r="E7" s="3"/>
      <c r="F7" s="3"/>
      <c r="G7" s="3">
        <v>-1192</v>
      </c>
      <c r="H7" s="3"/>
      <c r="I7" s="3"/>
      <c r="J7" s="3"/>
      <c r="K7" s="90">
        <f t="shared" si="0"/>
        <v>4468</v>
      </c>
      <c r="L7" s="92">
        <v>4500</v>
      </c>
    </row>
    <row r="8" spans="1:12" x14ac:dyDescent="0.35">
      <c r="A8" s="3" t="s">
        <v>113</v>
      </c>
      <c r="B8" s="3"/>
      <c r="C8" s="3">
        <v>4758</v>
      </c>
      <c r="D8" s="3"/>
      <c r="E8" s="3"/>
      <c r="F8" s="3"/>
      <c r="G8" s="3">
        <v>1192</v>
      </c>
      <c r="H8" s="3">
        <v>147</v>
      </c>
      <c r="I8" s="3"/>
      <c r="J8" s="3"/>
      <c r="K8" s="90">
        <f t="shared" si="0"/>
        <v>6097</v>
      </c>
      <c r="L8" s="92">
        <v>6100</v>
      </c>
    </row>
    <row r="9" spans="1:12" x14ac:dyDescent="0.35">
      <c r="A9" s="3" t="s">
        <v>114</v>
      </c>
      <c r="B9" s="3"/>
      <c r="C9" s="3"/>
      <c r="D9" s="3"/>
      <c r="E9" s="3"/>
      <c r="F9" s="3"/>
      <c r="G9" s="3"/>
      <c r="H9" s="3"/>
      <c r="I9" s="3"/>
      <c r="J9" s="3">
        <v>-1282</v>
      </c>
      <c r="K9" s="90">
        <f t="shared" si="0"/>
        <v>-1282</v>
      </c>
      <c r="L9" s="92">
        <v>-1300</v>
      </c>
    </row>
    <row r="10" spans="1:12" ht="15" thickBot="1" x14ac:dyDescent="0.4">
      <c r="A10" s="3"/>
      <c r="B10" s="3">
        <f>SUM(B3:B9)</f>
        <v>0</v>
      </c>
      <c r="C10" s="3">
        <f t="shared" ref="C10:J10" si="1">SUM(C3:C9)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  <c r="J10" s="3">
        <f t="shared" si="1"/>
        <v>0</v>
      </c>
      <c r="K10" s="90">
        <f>SUM(K3:K9)</f>
        <v>0</v>
      </c>
      <c r="L10" s="93">
        <f>SUM(L3:L9)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6</vt:i4>
      </vt:variant>
    </vt:vector>
  </HeadingPairs>
  <TitlesOfParts>
    <vt:vector size="14" baseType="lpstr">
      <vt:lpstr>2022 m.  pajamos (2)</vt:lpstr>
      <vt:lpstr>duomenys finansų ministerijai</vt:lpstr>
      <vt:lpstr>2021 m. sav. funkc pajamos</vt:lpstr>
      <vt:lpstr>projektas II var (patikslintas)</vt:lpstr>
      <vt:lpstr>Lapas1 (2)</vt:lpstr>
      <vt:lpstr>projektas I var</vt:lpstr>
      <vt:lpstr>Lapas2</vt:lpstr>
      <vt:lpstr>Lapas3</vt:lpstr>
      <vt:lpstr>'2021 m. sav. funkc pajamos'!Print_Titles</vt:lpstr>
      <vt:lpstr>'2022 m.  pajamos (2)'!Print_Titles</vt:lpstr>
      <vt:lpstr>'duomenys finansų ministerijai'!Print_Titles</vt:lpstr>
      <vt:lpstr>'Lapas1 (2)'!Print_Titles</vt:lpstr>
      <vt:lpstr>'projektas I var'!Print_Titles</vt:lpstr>
      <vt:lpstr>'projektas II var (patikslintas)'!Print_Titles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Nadežda</dc:creator>
  <cp:lastModifiedBy>Vartotojas</cp:lastModifiedBy>
  <cp:lastPrinted>2022-01-24T12:22:09Z</cp:lastPrinted>
  <dcterms:created xsi:type="dcterms:W3CDTF">2015-10-29T09:28:49Z</dcterms:created>
  <dcterms:modified xsi:type="dcterms:W3CDTF">2022-01-31T08:22:36Z</dcterms:modified>
</cp:coreProperties>
</file>