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defaultThemeVersion="124226"/>
  <mc:AlternateContent xmlns:mc="http://schemas.openxmlformats.org/markup-compatibility/2006">
    <mc:Choice Requires="x15">
      <x15ac:absPath xmlns:x15ac="http://schemas.microsoft.com/office/spreadsheetml/2010/11/ac" url="C:\Users\Vartotojas\Desktop\TARYBOS SPRENDIMAI\2022 m. biudzetas\Pristatymas internetu\"/>
    </mc:Choice>
  </mc:AlternateContent>
  <xr:revisionPtr revIDLastSave="0" documentId="13_ncr:1_{19B6429C-5200-44DC-97E1-5220380EC745}" xr6:coauthVersionLast="47" xr6:coauthVersionMax="47" xr10:uidLastSave="{00000000-0000-0000-0000-000000000000}"/>
  <bookViews>
    <workbookView xWindow="-110" yWindow="-110" windowWidth="19420" windowHeight="10420" xr2:uid="{00000000-000D-0000-FFFF-FFFF00000000}"/>
  </bookViews>
  <sheets>
    <sheet name="SB_IP_paskola" sheetId="23" r:id="rId1"/>
    <sheet name="Speciali tiksline dotacija" sheetId="27" r:id="rId2"/>
    <sheet name="Kita dotacija" sheetId="28" r:id="rId3"/>
    <sheet name="SP" sheetId="29" r:id="rId4"/>
    <sheet name="ES" sheetId="30" r:id="rId5"/>
    <sheet name="Palyginimas 2" sheetId="22" state="hidden" r:id="rId6"/>
  </sheets>
  <definedNames>
    <definedName name="_xlnm.Print_Titles" localSheetId="4">ES!$8:$10</definedName>
    <definedName name="_xlnm.Print_Titles" localSheetId="2">'Kita dotacija'!$9:$11</definedName>
    <definedName name="_xlnm.Print_Titles" localSheetId="0">SB_IP_paskola!$10:$13</definedName>
    <definedName name="_xlnm.Print_Titles" localSheetId="1">'Speciali tiksline dotacija'!$10:$12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0" i="30" l="1"/>
  <c r="F70" i="30"/>
  <c r="G69" i="30"/>
  <c r="F69" i="30"/>
  <c r="G68" i="30"/>
  <c r="F68" i="30"/>
  <c r="G67" i="30"/>
  <c r="F67" i="30"/>
  <c r="G66" i="30"/>
  <c r="F66" i="30"/>
  <c r="G65" i="30"/>
  <c r="F65" i="30"/>
  <c r="E65" i="30"/>
  <c r="D65" i="30"/>
  <c r="G64" i="30"/>
  <c r="F64" i="30"/>
  <c r="G63" i="30"/>
  <c r="F63" i="30"/>
  <c r="G62" i="30"/>
  <c r="F62" i="30"/>
  <c r="E56" i="30"/>
  <c r="D56" i="30"/>
  <c r="E55" i="30"/>
  <c r="D55" i="30"/>
  <c r="G54" i="30"/>
  <c r="F54" i="30"/>
  <c r="E54" i="30"/>
  <c r="D54" i="30"/>
  <c r="E53" i="30"/>
  <c r="D53" i="30"/>
  <c r="E52" i="30"/>
  <c r="D52" i="30"/>
  <c r="E51" i="30"/>
  <c r="D51" i="30"/>
  <c r="E50" i="30"/>
  <c r="D50" i="30"/>
  <c r="E49" i="30"/>
  <c r="D49" i="30"/>
  <c r="E48" i="30"/>
  <c r="D48" i="30"/>
  <c r="E47" i="30"/>
  <c r="D47" i="30"/>
  <c r="E46" i="30"/>
  <c r="D46" i="30"/>
  <c r="E45" i="30"/>
  <c r="D45" i="30"/>
  <c r="E44" i="30"/>
  <c r="D44" i="30"/>
  <c r="E43" i="30"/>
  <c r="D43" i="30"/>
  <c r="G42" i="30"/>
  <c r="E42" i="30" s="1"/>
  <c r="F42" i="30"/>
  <c r="D42" i="30" s="1"/>
  <c r="E41" i="30"/>
  <c r="D41" i="30"/>
  <c r="E40" i="30"/>
  <c r="D40" i="30"/>
  <c r="G39" i="30"/>
  <c r="F39" i="30"/>
  <c r="D39" i="30" s="1"/>
  <c r="E39" i="30"/>
  <c r="E38" i="30"/>
  <c r="D38" i="30"/>
  <c r="E37" i="30"/>
  <c r="E70" i="30" s="1"/>
  <c r="D37" i="30"/>
  <c r="D70" i="30" s="1"/>
  <c r="E36" i="30"/>
  <c r="D36" i="30"/>
  <c r="E35" i="30"/>
  <c r="D35" i="30"/>
  <c r="E34" i="30"/>
  <c r="D34" i="30"/>
  <c r="E33" i="30"/>
  <c r="D33" i="30"/>
  <c r="E32" i="30"/>
  <c r="D32" i="30"/>
  <c r="E31" i="30"/>
  <c r="D31" i="30"/>
  <c r="E30" i="30"/>
  <c r="D30" i="30"/>
  <c r="E29" i="30"/>
  <c r="D29" i="30"/>
  <c r="E28" i="30"/>
  <c r="D28" i="30"/>
  <c r="D69" i="30" s="1"/>
  <c r="E27" i="30"/>
  <c r="D27" i="30"/>
  <c r="E26" i="30"/>
  <c r="E69" i="30" s="1"/>
  <c r="D26" i="30"/>
  <c r="E25" i="30"/>
  <c r="E68" i="30" s="1"/>
  <c r="D25" i="30"/>
  <c r="D68" i="30" s="1"/>
  <c r="E24" i="30"/>
  <c r="E67" i="30" s="1"/>
  <c r="D24" i="30"/>
  <c r="D67" i="30" s="1"/>
  <c r="E23" i="30"/>
  <c r="E22" i="30"/>
  <c r="D22" i="30"/>
  <c r="E21" i="30"/>
  <c r="D21" i="30"/>
  <c r="E20" i="30"/>
  <c r="D20" i="30"/>
  <c r="E19" i="30"/>
  <c r="E66" i="30" s="1"/>
  <c r="D19" i="30"/>
  <c r="D66" i="30" s="1"/>
  <c r="E18" i="30"/>
  <c r="D18" i="30"/>
  <c r="E17" i="30"/>
  <c r="E64" i="30" s="1"/>
  <c r="D17" i="30"/>
  <c r="D64" i="30" s="1"/>
  <c r="E16" i="30"/>
  <c r="E63" i="30" s="1"/>
  <c r="D16" i="30"/>
  <c r="D12" i="30" s="1"/>
  <c r="D60" i="30" s="1"/>
  <c r="E15" i="30"/>
  <c r="D15" i="30"/>
  <c r="E14" i="30"/>
  <c r="E62" i="30" s="1"/>
  <c r="D14" i="30"/>
  <c r="D62" i="30" s="1"/>
  <c r="E13" i="30"/>
  <c r="D13" i="30"/>
  <c r="G12" i="30"/>
  <c r="G60" i="30" s="1"/>
  <c r="F12" i="30"/>
  <c r="F60" i="30" s="1"/>
  <c r="E12" i="30"/>
  <c r="E60" i="30" s="1"/>
  <c r="D63" i="30" l="1"/>
  <c r="G31" i="29" l="1"/>
  <c r="F30" i="29"/>
  <c r="D30" i="29"/>
  <c r="G28" i="29"/>
  <c r="E28" i="29"/>
  <c r="F25" i="29"/>
  <c r="D25" i="29"/>
  <c r="D22" i="29"/>
  <c r="D19" i="29"/>
  <c r="D28" i="29" s="1"/>
  <c r="D16" i="29"/>
  <c r="F15" i="29"/>
  <c r="F31" i="29" s="1"/>
  <c r="D15" i="29"/>
  <c r="D31" i="29" s="1"/>
  <c r="D14" i="29"/>
  <c r="D12" i="29" s="1"/>
  <c r="E12" i="29"/>
  <c r="F12" i="29" l="1"/>
  <c r="F28" i="29" s="1"/>
  <c r="E172" i="28" l="1"/>
  <c r="D172" i="28"/>
  <c r="E171" i="28"/>
  <c r="D171" i="28"/>
  <c r="E170" i="28"/>
  <c r="D170" i="28"/>
  <c r="E169" i="28"/>
  <c r="D169" i="28"/>
  <c r="E168" i="28"/>
  <c r="D168" i="28"/>
  <c r="E167" i="28"/>
  <c r="D167" i="28"/>
  <c r="E166" i="28"/>
  <c r="D166" i="28"/>
  <c r="E165" i="28"/>
  <c r="D165" i="28"/>
  <c r="E164" i="28"/>
  <c r="D164" i="28"/>
  <c r="E163" i="28"/>
  <c r="D163" i="28"/>
  <c r="E159" i="28"/>
  <c r="D159" i="28"/>
  <c r="E153" i="28"/>
  <c r="D153" i="28"/>
  <c r="E144" i="28"/>
  <c r="D144" i="28"/>
  <c r="E138" i="28"/>
  <c r="D138" i="28"/>
  <c r="E131" i="28"/>
  <c r="D131" i="28"/>
  <c r="E128" i="28"/>
  <c r="D128" i="28"/>
  <c r="E124" i="28"/>
  <c r="D124" i="28"/>
  <c r="E118" i="28"/>
  <c r="D118" i="28"/>
  <c r="E114" i="28"/>
  <c r="D114" i="28"/>
  <c r="E110" i="28"/>
  <c r="D110" i="28"/>
  <c r="E106" i="28"/>
  <c r="D106" i="28"/>
  <c r="E100" i="28"/>
  <c r="D100" i="28"/>
  <c r="E94" i="28"/>
  <c r="D94" i="28"/>
  <c r="E84" i="28"/>
  <c r="D84" i="28"/>
  <c r="E73" i="28"/>
  <c r="D73" i="28"/>
  <c r="E65" i="28"/>
  <c r="D65" i="28"/>
  <c r="E57" i="28"/>
  <c r="D57" i="28"/>
  <c r="E47" i="28"/>
  <c r="D47" i="28"/>
  <c r="E13" i="28"/>
  <c r="E161" i="28" s="1"/>
  <c r="D13" i="28"/>
  <c r="D161" i="28" s="1"/>
  <c r="J129" i="27" l="1"/>
  <c r="I129" i="27"/>
  <c r="H129" i="27"/>
  <c r="G129" i="27"/>
  <c r="E129" i="27"/>
  <c r="J128" i="27"/>
  <c r="I128" i="27"/>
  <c r="H128" i="27"/>
  <c r="G128" i="27"/>
  <c r="F128" i="27"/>
  <c r="E128" i="27"/>
  <c r="J127" i="27"/>
  <c r="I127" i="27"/>
  <c r="H127" i="27"/>
  <c r="G127" i="27"/>
  <c r="E127" i="27"/>
  <c r="J126" i="27"/>
  <c r="I126" i="27"/>
  <c r="H126" i="27"/>
  <c r="G126" i="27"/>
  <c r="F126" i="27"/>
  <c r="E126" i="27"/>
  <c r="J125" i="27"/>
  <c r="I125" i="27"/>
  <c r="G125" i="27"/>
  <c r="F125" i="27"/>
  <c r="E125" i="27"/>
  <c r="J124" i="27"/>
  <c r="I124" i="27"/>
  <c r="H124" i="27"/>
  <c r="G124" i="27"/>
  <c r="F124" i="27"/>
  <c r="E124" i="27"/>
  <c r="F121" i="27"/>
  <c r="D121" i="27"/>
  <c r="D120" i="27"/>
  <c r="F119" i="27"/>
  <c r="E119" i="27"/>
  <c r="D119" i="27"/>
  <c r="F118" i="27"/>
  <c r="F127" i="27" s="1"/>
  <c r="D118" i="27"/>
  <c r="F117" i="27"/>
  <c r="D117" i="27"/>
  <c r="D116" i="27"/>
  <c r="E115" i="27"/>
  <c r="D115" i="27"/>
  <c r="D114" i="27"/>
  <c r="D129" i="27" s="1"/>
  <c r="D113" i="27"/>
  <c r="D112" i="27"/>
  <c r="H111" i="27"/>
  <c r="D111" i="27"/>
  <c r="D110" i="27"/>
  <c r="H109" i="27"/>
  <c r="G109" i="27"/>
  <c r="G122" i="27" s="1"/>
  <c r="G133" i="27" s="1"/>
  <c r="D109" i="27"/>
  <c r="D108" i="27"/>
  <c r="D107" i="27"/>
  <c r="H106" i="27"/>
  <c r="G106" i="27"/>
  <c r="D106" i="27" s="1"/>
  <c r="D105" i="27"/>
  <c r="D104" i="27"/>
  <c r="H103" i="27"/>
  <c r="H101" i="27" s="1"/>
  <c r="D103" i="27"/>
  <c r="D102" i="27"/>
  <c r="J101" i="27"/>
  <c r="I101" i="27"/>
  <c r="I122" i="27" s="1"/>
  <c r="I133" i="27" s="1"/>
  <c r="G101" i="27"/>
  <c r="F101" i="27"/>
  <c r="E101" i="27"/>
  <c r="D101" i="27" s="1"/>
  <c r="D100" i="27"/>
  <c r="D99" i="27"/>
  <c r="H98" i="27"/>
  <c r="H96" i="27" s="1"/>
  <c r="D98" i="27"/>
  <c r="D97" i="27"/>
  <c r="J96" i="27"/>
  <c r="I96" i="27"/>
  <c r="G96" i="27"/>
  <c r="F96" i="27"/>
  <c r="E96" i="27"/>
  <c r="D96" i="27" s="1"/>
  <c r="D95" i="27"/>
  <c r="D94" i="27"/>
  <c r="H93" i="27"/>
  <c r="H91" i="27" s="1"/>
  <c r="D93" i="27"/>
  <c r="D92" i="27"/>
  <c r="J91" i="27"/>
  <c r="I91" i="27"/>
  <c r="G91" i="27"/>
  <c r="F91" i="27"/>
  <c r="E91" i="27"/>
  <c r="D91" i="27" s="1"/>
  <c r="D90" i="27"/>
  <c r="D89" i="27"/>
  <c r="H88" i="27"/>
  <c r="H86" i="27" s="1"/>
  <c r="D88" i="27"/>
  <c r="D87" i="27"/>
  <c r="J86" i="27"/>
  <c r="I86" i="27"/>
  <c r="G86" i="27"/>
  <c r="F86" i="27"/>
  <c r="E86" i="27"/>
  <c r="D86" i="27" s="1"/>
  <c r="D85" i="27"/>
  <c r="D84" i="27"/>
  <c r="H83" i="27"/>
  <c r="H81" i="27" s="1"/>
  <c r="D83" i="27"/>
  <c r="D82" i="27"/>
  <c r="J81" i="27"/>
  <c r="I81" i="27"/>
  <c r="G81" i="27"/>
  <c r="F81" i="27"/>
  <c r="E81" i="27"/>
  <c r="D81" i="27" s="1"/>
  <c r="D80" i="27"/>
  <c r="D79" i="27"/>
  <c r="H77" i="27"/>
  <c r="H75" i="27" s="1"/>
  <c r="D77" i="27"/>
  <c r="D76" i="27"/>
  <c r="J75" i="27"/>
  <c r="I75" i="27"/>
  <c r="G75" i="27"/>
  <c r="F75" i="27"/>
  <c r="E75" i="27"/>
  <c r="D75" i="27" s="1"/>
  <c r="D74" i="27"/>
  <c r="D73" i="27"/>
  <c r="D72" i="27"/>
  <c r="H70" i="27"/>
  <c r="D70" i="27"/>
  <c r="D69" i="27"/>
  <c r="J68" i="27"/>
  <c r="I68" i="27"/>
  <c r="H68" i="27"/>
  <c r="G68" i="27"/>
  <c r="F68" i="27"/>
  <c r="E68" i="27"/>
  <c r="D68" i="27" s="1"/>
  <c r="D67" i="27"/>
  <c r="D66" i="27"/>
  <c r="H64" i="27"/>
  <c r="H62" i="27" s="1"/>
  <c r="D64" i="27"/>
  <c r="D63" i="27"/>
  <c r="J62" i="27"/>
  <c r="I62" i="27"/>
  <c r="G62" i="27"/>
  <c r="F62" i="27"/>
  <c r="E62" i="27"/>
  <c r="D62" i="27"/>
  <c r="D61" i="27"/>
  <c r="D60" i="27"/>
  <c r="H58" i="27"/>
  <c r="D58" i="27"/>
  <c r="D57" i="27"/>
  <c r="J56" i="27"/>
  <c r="I56" i="27"/>
  <c r="H56" i="27"/>
  <c r="G56" i="27"/>
  <c r="F56" i="27"/>
  <c r="E56" i="27"/>
  <c r="D56" i="27" s="1"/>
  <c r="D55" i="27"/>
  <c r="D54" i="27"/>
  <c r="H52" i="27"/>
  <c r="H50" i="27" s="1"/>
  <c r="D52" i="27"/>
  <c r="D51" i="27"/>
  <c r="J50" i="27"/>
  <c r="I50" i="27"/>
  <c r="G50" i="27"/>
  <c r="F50" i="27"/>
  <c r="E50" i="27"/>
  <c r="D50" i="27"/>
  <c r="D49" i="27"/>
  <c r="D126" i="27" s="1"/>
  <c r="H48" i="27"/>
  <c r="H45" i="27" s="1"/>
  <c r="H14" i="27" s="1"/>
  <c r="G48" i="27"/>
  <c r="D48" i="27" s="1"/>
  <c r="D47" i="27"/>
  <c r="D125" i="27" s="1"/>
  <c r="J45" i="27"/>
  <c r="J14" i="27" s="1"/>
  <c r="I45" i="27"/>
  <c r="G45" i="27"/>
  <c r="G14" i="27" s="1"/>
  <c r="F45" i="27"/>
  <c r="F14" i="27" s="1"/>
  <c r="E45" i="27"/>
  <c r="D45" i="27" s="1"/>
  <c r="D14" i="27" s="1"/>
  <c r="D44" i="27"/>
  <c r="D43" i="27"/>
  <c r="D128" i="27" s="1"/>
  <c r="D42" i="27"/>
  <c r="D41" i="27"/>
  <c r="D40" i="27"/>
  <c r="D39" i="27"/>
  <c r="F38" i="27"/>
  <c r="F129" i="27" s="1"/>
  <c r="E38" i="27"/>
  <c r="D38" i="27"/>
  <c r="D37" i="27"/>
  <c r="D36" i="27"/>
  <c r="D35" i="27"/>
  <c r="D34" i="27"/>
  <c r="D33" i="27"/>
  <c r="D32" i="27"/>
  <c r="D127" i="27" s="1"/>
  <c r="D31" i="27"/>
  <c r="D30" i="27"/>
  <c r="D29" i="27"/>
  <c r="D28" i="27"/>
  <c r="D27" i="27"/>
  <c r="D26" i="27"/>
  <c r="D25" i="27"/>
  <c r="D24" i="27"/>
  <c r="D23" i="27"/>
  <c r="D22" i="27"/>
  <c r="D21" i="27"/>
  <c r="D20" i="27"/>
  <c r="D19" i="27"/>
  <c r="D18" i="27"/>
  <c r="D17" i="27"/>
  <c r="D16" i="27"/>
  <c r="D124" i="27" s="1"/>
  <c r="I14" i="27"/>
  <c r="E14" i="27"/>
  <c r="J122" i="27" l="1"/>
  <c r="J133" i="27" s="1"/>
  <c r="H122" i="27"/>
  <c r="H133" i="27" s="1"/>
  <c r="E122" i="27"/>
  <c r="H125" i="27"/>
  <c r="F115" i="27"/>
  <c r="F122" i="27" s="1"/>
  <c r="F133" i="27" l="1"/>
  <c r="F132" i="27"/>
  <c r="D122" i="27"/>
  <c r="D133" i="27" s="1"/>
  <c r="E133" i="27"/>
  <c r="D135" i="27"/>
  <c r="E132" i="27"/>
  <c r="G21" i="23" l="1"/>
  <c r="G22" i="23" s="1"/>
  <c r="E22" i="23" s="1"/>
  <c r="E216" i="23"/>
  <c r="E213" i="23"/>
  <c r="E214" i="23"/>
  <c r="E138" i="23"/>
  <c r="E21" i="23" l="1"/>
  <c r="F151" i="23"/>
  <c r="E151" i="23"/>
  <c r="E86" i="23"/>
  <c r="E68" i="23"/>
  <c r="G46" i="23"/>
  <c r="E46" i="23" s="1"/>
  <c r="E19" i="23"/>
  <c r="G43" i="23"/>
  <c r="E43" i="23" s="1"/>
  <c r="E196" i="23"/>
  <c r="G42" i="23"/>
  <c r="E42" i="23" s="1"/>
  <c r="E204" i="23"/>
  <c r="E195" i="23"/>
  <c r="F202" i="23"/>
  <c r="E202" i="23"/>
  <c r="F191" i="23"/>
  <c r="G35" i="23"/>
  <c r="E35" i="23" s="1"/>
  <c r="F181" i="23"/>
  <c r="E181" i="23"/>
  <c r="E33" i="23"/>
  <c r="G27" i="23"/>
  <c r="E27" i="23" s="1"/>
  <c r="G24" i="23"/>
  <c r="E24" i="23" s="1"/>
  <c r="E56" i="23"/>
  <c r="F134" i="23"/>
  <c r="E134" i="23"/>
  <c r="F125" i="23"/>
  <c r="E125" i="23"/>
  <c r="F107" i="23"/>
  <c r="E107" i="23"/>
  <c r="F98" i="23"/>
  <c r="E98" i="23"/>
  <c r="F90" i="23"/>
  <c r="G90" i="23"/>
  <c r="E90" i="23" s="1"/>
  <c r="H82" i="23"/>
  <c r="G82" i="23"/>
  <c r="E82" i="23" s="1"/>
  <c r="F73" i="23"/>
  <c r="G73" i="23"/>
  <c r="E73" i="23" s="1"/>
  <c r="H64" i="23"/>
  <c r="G64" i="23"/>
  <c r="E64" i="23" s="1"/>
  <c r="F56" i="23"/>
  <c r="F22" i="23"/>
  <c r="F19" i="23"/>
  <c r="G223" i="23" l="1"/>
  <c r="H221" i="23"/>
  <c r="G221" i="23"/>
  <c r="F221" i="23"/>
  <c r="F167" i="23"/>
  <c r="E167" i="23"/>
  <c r="F143" i="23"/>
  <c r="G143" i="23"/>
  <c r="E143" i="23" s="1"/>
  <c r="F82" i="23"/>
  <c r="F64" i="23"/>
  <c r="E20" i="23"/>
  <c r="H46" i="23" l="1"/>
  <c r="F46" i="23" s="1"/>
  <c r="G38" i="23" l="1"/>
  <c r="E38" i="23" s="1"/>
  <c r="G36" i="23"/>
  <c r="E36" i="23" s="1"/>
  <c r="G191" i="23"/>
  <c r="F27" i="23"/>
  <c r="F228" i="23"/>
  <c r="H228" i="23"/>
  <c r="E193" i="23"/>
  <c r="F187" i="23"/>
  <c r="H187" i="23"/>
  <c r="F198" i="23"/>
  <c r="G198" i="23"/>
  <c r="H198" i="23"/>
  <c r="E48" i="23"/>
  <c r="E221" i="23" s="1"/>
  <c r="E203" i="23"/>
  <c r="E198" i="23" s="1"/>
  <c r="E192" i="23"/>
  <c r="E182" i="23"/>
  <c r="F166" i="23"/>
  <c r="E166" i="23"/>
  <c r="E152" i="23"/>
  <c r="E144" i="23"/>
  <c r="E91" i="23"/>
  <c r="E83" i="23"/>
  <c r="E81" i="23"/>
  <c r="E223" i="23" s="1"/>
  <c r="E74" i="23"/>
  <c r="E65" i="23"/>
  <c r="E57" i="23"/>
  <c r="E126" i="23"/>
  <c r="E99" i="23"/>
  <c r="E23" i="23"/>
  <c r="E191" i="23" l="1"/>
  <c r="E219" i="23" s="1"/>
  <c r="G219" i="23"/>
  <c r="G187" i="23"/>
  <c r="G228" i="23"/>
  <c r="F223" i="23"/>
  <c r="F220" i="23" l="1"/>
  <c r="H220" i="23"/>
  <c r="G117" i="23"/>
  <c r="E117" i="23" s="1"/>
  <c r="E220" i="23" s="1"/>
  <c r="E187" i="23"/>
  <c r="E228" i="23"/>
  <c r="G231" i="23"/>
  <c r="G229" i="23"/>
  <c r="G230" i="23"/>
  <c r="E227" i="23"/>
  <c r="F227" i="23"/>
  <c r="H227" i="23"/>
  <c r="G227" i="23"/>
  <c r="E226" i="23"/>
  <c r="F226" i="23"/>
  <c r="H226" i="23"/>
  <c r="G226" i="23"/>
  <c r="E225" i="23"/>
  <c r="F225" i="23"/>
  <c r="H225" i="23"/>
  <c r="G225" i="23"/>
  <c r="E224" i="23"/>
  <c r="F224" i="23"/>
  <c r="H224" i="23"/>
  <c r="G224" i="23"/>
  <c r="G220" i="23" l="1"/>
  <c r="F219" i="23"/>
  <c r="H219" i="23"/>
  <c r="H207" i="23"/>
  <c r="G207" i="23"/>
  <c r="F207" i="23"/>
  <c r="E207" i="23"/>
  <c r="F177" i="23"/>
  <c r="G177" i="23"/>
  <c r="H177" i="23"/>
  <c r="E177" i="23"/>
  <c r="F169" i="23"/>
  <c r="G169" i="23"/>
  <c r="H169" i="23"/>
  <c r="E169" i="23"/>
  <c r="F154" i="23"/>
  <c r="G154" i="23"/>
  <c r="H154" i="23"/>
  <c r="E154" i="23"/>
  <c r="F148" i="23"/>
  <c r="G148" i="23"/>
  <c r="H148" i="23"/>
  <c r="E148" i="23"/>
  <c r="E140" i="23"/>
  <c r="H140" i="23"/>
  <c r="G140" i="23"/>
  <c r="F140" i="23"/>
  <c r="E131" i="23"/>
  <c r="H131" i="23"/>
  <c r="G131" i="23"/>
  <c r="F131" i="23"/>
  <c r="E113" i="23"/>
  <c r="E122" i="23"/>
  <c r="H122" i="23"/>
  <c r="G122" i="23"/>
  <c r="F122" i="23"/>
  <c r="H113" i="23"/>
  <c r="G113" i="23"/>
  <c r="F113" i="23"/>
  <c r="E104" i="23"/>
  <c r="H104" i="23"/>
  <c r="G104" i="23"/>
  <c r="F104" i="23"/>
  <c r="H95" i="23"/>
  <c r="G95" i="23"/>
  <c r="F95" i="23"/>
  <c r="E95" i="23"/>
  <c r="H87" i="23"/>
  <c r="G87" i="23"/>
  <c r="F87" i="23"/>
  <c r="E87" i="23"/>
  <c r="H78" i="23"/>
  <c r="G78" i="23"/>
  <c r="F78" i="23"/>
  <c r="E78" i="23"/>
  <c r="H70" i="23"/>
  <c r="G70" i="23"/>
  <c r="F70" i="23"/>
  <c r="E70" i="23"/>
  <c r="H61" i="23"/>
  <c r="G61" i="23"/>
  <c r="F61" i="23"/>
  <c r="E61" i="23"/>
  <c r="E53" i="23"/>
  <c r="H53" i="23"/>
  <c r="G53" i="23"/>
  <c r="F53" i="23"/>
  <c r="E14" i="23"/>
  <c r="F14" i="23"/>
  <c r="H14" i="23"/>
  <c r="G14" i="23"/>
  <c r="H17" i="23"/>
  <c r="F17" i="23"/>
  <c r="G17" i="23"/>
  <c r="E17" i="23" l="1"/>
  <c r="H232" i="23" l="1"/>
  <c r="G232" i="23"/>
  <c r="H231" i="23"/>
  <c r="H230" i="23"/>
  <c r="F232" i="23"/>
  <c r="E232" i="23"/>
  <c r="F231" i="23"/>
  <c r="E231" i="23"/>
  <c r="F230" i="23"/>
  <c r="E230" i="23"/>
  <c r="H223" i="23"/>
  <c r="F229" i="23"/>
  <c r="H210" i="23"/>
  <c r="G210" i="23"/>
  <c r="G217" i="23" s="1"/>
  <c r="F210" i="23"/>
  <c r="E210" i="23"/>
  <c r="H229" i="23"/>
  <c r="E229" i="23"/>
  <c r="E217" i="23" l="1"/>
  <c r="H217" i="23" l="1"/>
  <c r="F217" i="23" l="1"/>
  <c r="EN139" i="22" l="1"/>
  <c r="EM139" i="22" s="1"/>
  <c r="EO138" i="22"/>
  <c r="EN138" i="22"/>
  <c r="EM138" i="22" s="1"/>
  <c r="EO137" i="22"/>
  <c r="EO136" i="22"/>
  <c r="EN136" i="22"/>
  <c r="EM136" i="22" s="1"/>
  <c r="EM135" i="22"/>
  <c r="EM134" i="22"/>
  <c r="EM133" i="22"/>
  <c r="EM132" i="22"/>
  <c r="EO131" i="22"/>
  <c r="EM130" i="22"/>
  <c r="EO129" i="22"/>
  <c r="EO126" i="22" s="1"/>
  <c r="EN129" i="22"/>
  <c r="EM129" i="22" s="1"/>
  <c r="EM128" i="22"/>
  <c r="EK139" i="22" l="1"/>
  <c r="EL139" i="22"/>
  <c r="ES202" i="22"/>
  <c r="ET201" i="22"/>
  <c r="ES201" i="22"/>
  <c r="ET200" i="22"/>
  <c r="EQ200" i="22" s="1"/>
  <c r="ES200" i="22"/>
  <c r="ER200" i="22"/>
  <c r="ES199" i="22"/>
  <c r="ER199" i="22"/>
  <c r="EO199" i="22"/>
  <c r="EN199" i="22"/>
  <c r="ES198" i="22"/>
  <c r="ET197" i="22"/>
  <c r="ES197" i="22"/>
  <c r="ER197" i="22"/>
  <c r="EQ197" i="22" s="1"/>
  <c r="EP197" i="22"/>
  <c r="EO197" i="22"/>
  <c r="ET196" i="22"/>
  <c r="EQ196" i="22" s="1"/>
  <c r="ES196" i="22"/>
  <c r="ER196" i="22"/>
  <c r="EP196" i="22"/>
  <c r="ET195" i="22"/>
  <c r="ES195" i="22"/>
  <c r="ET194" i="22"/>
  <c r="ET193" i="22"/>
  <c r="ES193" i="22"/>
  <c r="ET191" i="22"/>
  <c r="ES191" i="22"/>
  <c r="ER191" i="22"/>
  <c r="EO191" i="22"/>
  <c r="ET190" i="22"/>
  <c r="ES190" i="22"/>
  <c r="EM186" i="22"/>
  <c r="EQ184" i="22"/>
  <c r="EN184" i="22"/>
  <c r="EM184" i="22" s="1"/>
  <c r="ET183" i="22"/>
  <c r="EQ183" i="22" s="1"/>
  <c r="EN183" i="22"/>
  <c r="EQ182" i="22"/>
  <c r="EQ179" i="22"/>
  <c r="EM179" i="22"/>
  <c r="ET177" i="22"/>
  <c r="ES177" i="22"/>
  <c r="ER177" i="22"/>
  <c r="EP177" i="22"/>
  <c r="EO177" i="22"/>
  <c r="EN177" i="22"/>
  <c r="EM177" i="22" s="1"/>
  <c r="EQ176" i="22"/>
  <c r="EN176" i="22"/>
  <c r="EM176" i="22"/>
  <c r="EQ175" i="22"/>
  <c r="EM175" i="22"/>
  <c r="EQ174" i="22"/>
  <c r="EO174" i="22"/>
  <c r="EN174" i="22"/>
  <c r="EM174" i="22" s="1"/>
  <c r="EQ173" i="22"/>
  <c r="EO173" i="22"/>
  <c r="EN173" i="22"/>
  <c r="EM173" i="22" s="1"/>
  <c r="ET170" i="22"/>
  <c r="ES170" i="22"/>
  <c r="ER170" i="22"/>
  <c r="EP170" i="22"/>
  <c r="EQ169" i="22"/>
  <c r="EM169" i="22"/>
  <c r="EQ168" i="22"/>
  <c r="EM168" i="22"/>
  <c r="EQ167" i="22"/>
  <c r="EM167" i="22"/>
  <c r="EQ166" i="22"/>
  <c r="EO166" i="22"/>
  <c r="EN166" i="22"/>
  <c r="EM166" i="22"/>
  <c r="EQ165" i="22"/>
  <c r="EO165" i="22"/>
  <c r="EO162" i="22" s="1"/>
  <c r="EN165" i="22"/>
  <c r="EM165" i="22" s="1"/>
  <c r="ET162" i="22"/>
  <c r="ES162" i="22"/>
  <c r="ER162" i="22"/>
  <c r="EP162" i="22"/>
  <c r="EQ161" i="22"/>
  <c r="EP161" i="22"/>
  <c r="EP156" i="22" s="1"/>
  <c r="EN161" i="22"/>
  <c r="EM161" i="22" s="1"/>
  <c r="EQ160" i="22"/>
  <c r="EM160" i="22"/>
  <c r="EQ159" i="22"/>
  <c r="EN159" i="22"/>
  <c r="EM159" i="22" s="1"/>
  <c r="EQ158" i="22"/>
  <c r="EO158" i="22"/>
  <c r="EO156" i="22" s="1"/>
  <c r="EN158" i="22"/>
  <c r="EM158" i="22" s="1"/>
  <c r="ET156" i="22"/>
  <c r="ES156" i="22"/>
  <c r="ER156" i="22"/>
  <c r="EQ154" i="22"/>
  <c r="EN154" i="22"/>
  <c r="EM154" i="22"/>
  <c r="EQ153" i="22"/>
  <c r="EO153" i="22"/>
  <c r="EN153" i="22"/>
  <c r="EN151" i="22" s="1"/>
  <c r="ET151" i="22"/>
  <c r="ES151" i="22"/>
  <c r="ER151" i="22"/>
  <c r="EP151" i="22"/>
  <c r="EO151" i="22"/>
  <c r="EM150" i="22"/>
  <c r="EQ149" i="22"/>
  <c r="EN149" i="22"/>
  <c r="EM149" i="22" s="1"/>
  <c r="EQ148" i="22"/>
  <c r="EM148" i="22"/>
  <c r="EM145" i="22"/>
  <c r="EQ144" i="22"/>
  <c r="EP144" i="22"/>
  <c r="EN144" i="22"/>
  <c r="EQ143" i="22"/>
  <c r="EP143" i="22"/>
  <c r="EP140" i="22" s="1"/>
  <c r="EO143" i="22"/>
  <c r="EN143" i="22"/>
  <c r="EN140" i="22" s="1"/>
  <c r="EM142" i="22"/>
  <c r="ET140" i="22"/>
  <c r="ES140" i="22"/>
  <c r="ER140" i="22"/>
  <c r="EO140" i="22"/>
  <c r="EQ139" i="22"/>
  <c r="EQ138" i="22"/>
  <c r="ER137" i="22"/>
  <c r="EN137" i="22" s="1"/>
  <c r="EQ137" i="22"/>
  <c r="EP137" i="22"/>
  <c r="EQ136" i="22"/>
  <c r="EQ135" i="22"/>
  <c r="EQ134" i="22"/>
  <c r="EQ133" i="22"/>
  <c r="EQ132" i="22"/>
  <c r="ER131" i="22"/>
  <c r="ER126" i="22" s="1"/>
  <c r="EQ126" i="22" s="1"/>
  <c r="EQ131" i="22"/>
  <c r="EQ130" i="22"/>
  <c r="EQ129" i="22"/>
  <c r="EQ128" i="22"/>
  <c r="ET126" i="22"/>
  <c r="ES126" i="22"/>
  <c r="EP126" i="22"/>
  <c r="EQ124" i="22"/>
  <c r="EN124" i="22"/>
  <c r="EM124" i="22" s="1"/>
  <c r="EQ123" i="22"/>
  <c r="EO123" i="22"/>
  <c r="EO120" i="22" s="1"/>
  <c r="EN123" i="22"/>
  <c r="EN120" i="22" s="1"/>
  <c r="EQ122" i="22"/>
  <c r="EM122" i="22"/>
  <c r="ET120" i="22"/>
  <c r="ES120" i="22"/>
  <c r="ER120" i="22"/>
  <c r="EP120" i="22"/>
  <c r="EM119" i="22"/>
  <c r="ER118" i="22"/>
  <c r="EN118" i="22" s="1"/>
  <c r="EQ118" i="22"/>
  <c r="EP118" i="22"/>
  <c r="EP110" i="22" s="1"/>
  <c r="EO118" i="22"/>
  <c r="EO202" i="22" s="1"/>
  <c r="EQ117" i="22"/>
  <c r="EO117" i="22"/>
  <c r="EN117" i="22"/>
  <c r="EM117" i="22"/>
  <c r="EQ116" i="22"/>
  <c r="EN116" i="22"/>
  <c r="EM116" i="22" s="1"/>
  <c r="EQ113" i="22"/>
  <c r="EO113" i="22"/>
  <c r="EO110" i="22" s="1"/>
  <c r="EN113" i="22"/>
  <c r="EM113" i="22" s="1"/>
  <c r="ER112" i="22"/>
  <c r="EQ112" i="22" s="1"/>
  <c r="EO112" i="22"/>
  <c r="ET110" i="22"/>
  <c r="ES110" i="22"/>
  <c r="EQ109" i="22"/>
  <c r="EM109" i="22"/>
  <c r="EQ108" i="22"/>
  <c r="EN108" i="22"/>
  <c r="EM108" i="22" s="1"/>
  <c r="EQ107" i="22"/>
  <c r="EN107" i="22"/>
  <c r="EM107" i="22" s="1"/>
  <c r="EQ106" i="22"/>
  <c r="EO106" i="22"/>
  <c r="EN106" i="22"/>
  <c r="EM106" i="22" s="1"/>
  <c r="ET104" i="22"/>
  <c r="ES104" i="22"/>
  <c r="ER104" i="22"/>
  <c r="EP104" i="22"/>
  <c r="EO104" i="22"/>
  <c r="EQ102" i="22"/>
  <c r="EM102" i="22"/>
  <c r="EQ101" i="22"/>
  <c r="EM101" i="22"/>
  <c r="EQ100" i="22"/>
  <c r="EN100" i="22"/>
  <c r="EM100" i="22" s="1"/>
  <c r="EQ99" i="22"/>
  <c r="EO99" i="22"/>
  <c r="EN99" i="22"/>
  <c r="EM99" i="22" s="1"/>
  <c r="ET97" i="22"/>
  <c r="ES97" i="22"/>
  <c r="ER97" i="22"/>
  <c r="EQ97" i="22" s="1"/>
  <c r="EP97" i="22"/>
  <c r="EO97" i="22"/>
  <c r="EQ96" i="22"/>
  <c r="EP96" i="22"/>
  <c r="EM96" i="22" s="1"/>
  <c r="EQ95" i="22"/>
  <c r="EP95" i="22"/>
  <c r="EM95" i="22" s="1"/>
  <c r="EQ94" i="22"/>
  <c r="EM94" i="22"/>
  <c r="EQ93" i="22"/>
  <c r="EN93" i="22"/>
  <c r="EM93" i="22" s="1"/>
  <c r="EQ92" i="22"/>
  <c r="EO92" i="22"/>
  <c r="EO90" i="22" s="1"/>
  <c r="EN92" i="22"/>
  <c r="EM92" i="22" s="1"/>
  <c r="ET90" i="22"/>
  <c r="ES90" i="22"/>
  <c r="ER90" i="22"/>
  <c r="EQ90" i="22" s="1"/>
  <c r="EQ89" i="22"/>
  <c r="EM89" i="22"/>
  <c r="EQ88" i="22"/>
  <c r="EM88" i="22"/>
  <c r="EQ87" i="22"/>
  <c r="EP87" i="22"/>
  <c r="EN87" i="22"/>
  <c r="EQ86" i="22"/>
  <c r="EO86" i="22"/>
  <c r="EO84" i="22" s="1"/>
  <c r="EN86" i="22"/>
  <c r="EM86" i="22" s="1"/>
  <c r="ET84" i="22"/>
  <c r="ES84" i="22"/>
  <c r="ER84" i="22"/>
  <c r="EM83" i="22"/>
  <c r="EQ82" i="22"/>
  <c r="EM82" i="22"/>
  <c r="EQ81" i="22"/>
  <c r="EM81" i="22"/>
  <c r="EQ80" i="22"/>
  <c r="EN80" i="22"/>
  <c r="EM80" i="22" s="1"/>
  <c r="EQ79" i="22"/>
  <c r="EO79" i="22"/>
  <c r="EO77" i="22" s="1"/>
  <c r="EN79" i="22"/>
  <c r="EM79" i="22" s="1"/>
  <c r="ET77" i="22"/>
  <c r="ES77" i="22"/>
  <c r="ER77" i="22"/>
  <c r="EP77" i="22"/>
  <c r="EQ76" i="22"/>
  <c r="EP76" i="22"/>
  <c r="EP70" i="22" s="1"/>
  <c r="EN76" i="22"/>
  <c r="EM76" i="22" s="1"/>
  <c r="EQ75" i="22"/>
  <c r="EM75" i="22"/>
  <c r="EQ74" i="22"/>
  <c r="EM74" i="22"/>
  <c r="EQ73" i="22"/>
  <c r="EP73" i="22"/>
  <c r="EN73" i="22"/>
  <c r="EM73" i="22" s="1"/>
  <c r="ER72" i="22"/>
  <c r="EQ72" i="22" s="1"/>
  <c r="EO72" i="22"/>
  <c r="EO70" i="22" s="1"/>
  <c r="ET70" i="22"/>
  <c r="ES70" i="22"/>
  <c r="EQ68" i="22"/>
  <c r="EM68" i="22"/>
  <c r="EQ67" i="22"/>
  <c r="EN67" i="22"/>
  <c r="EM67" i="22" s="1"/>
  <c r="EQ66" i="22"/>
  <c r="EO66" i="22"/>
  <c r="EN66" i="22"/>
  <c r="EM66" i="22" s="1"/>
  <c r="ET64" i="22"/>
  <c r="ES64" i="22"/>
  <c r="ER64" i="22"/>
  <c r="EQ64" i="22" s="1"/>
  <c r="EP64" i="22"/>
  <c r="EO64" i="22"/>
  <c r="EQ62" i="22"/>
  <c r="EM62" i="22"/>
  <c r="EQ61" i="22"/>
  <c r="EN61" i="22"/>
  <c r="EM61" i="22" s="1"/>
  <c r="ER60" i="22"/>
  <c r="EN60" i="22" s="1"/>
  <c r="EQ60" i="22"/>
  <c r="EP60" i="22"/>
  <c r="EO60" i="22"/>
  <c r="EQ59" i="22"/>
  <c r="EN59" i="22"/>
  <c r="EM59" i="22" s="1"/>
  <c r="ET57" i="22"/>
  <c r="ES57" i="22"/>
  <c r="ER57" i="22"/>
  <c r="EO57" i="22"/>
  <c r="EQ55" i="22"/>
  <c r="EM55" i="22"/>
  <c r="EQ54" i="22"/>
  <c r="EN54" i="22"/>
  <c r="EM54" i="22" s="1"/>
  <c r="ER53" i="22"/>
  <c r="EQ53" i="22" s="1"/>
  <c r="EO53" i="22"/>
  <c r="EO51" i="22" s="1"/>
  <c r="ET51" i="22"/>
  <c r="ES51" i="22"/>
  <c r="EP51" i="22"/>
  <c r="EM50" i="22"/>
  <c r="EM49" i="22"/>
  <c r="EQ48" i="22"/>
  <c r="EM48" i="22"/>
  <c r="EQ47" i="22"/>
  <c r="EN47" i="22"/>
  <c r="EM47" i="22" s="1"/>
  <c r="ES46" i="22"/>
  <c r="ES194" i="22" s="1"/>
  <c r="ER46" i="22"/>
  <c r="EQ46" i="22" s="1"/>
  <c r="EP46" i="22"/>
  <c r="EP44" i="22" s="1"/>
  <c r="ET44" i="22"/>
  <c r="ES44" i="22"/>
  <c r="EQ43" i="22"/>
  <c r="EM43" i="22"/>
  <c r="EQ42" i="22"/>
  <c r="EM42" i="22"/>
  <c r="EQ41" i="22"/>
  <c r="EM41" i="22"/>
  <c r="EQ40" i="22"/>
  <c r="EO40" i="22"/>
  <c r="EO38" i="22" s="1"/>
  <c r="EN40" i="22"/>
  <c r="EM40" i="22" s="1"/>
  <c r="ET38" i="22"/>
  <c r="ES38" i="22"/>
  <c r="ER38" i="22"/>
  <c r="EQ38" i="22"/>
  <c r="EP38" i="22"/>
  <c r="EN38" i="22"/>
  <c r="EM38" i="22" s="1"/>
  <c r="EQ37" i="22"/>
  <c r="EM37" i="22"/>
  <c r="EQ36" i="22"/>
  <c r="EM36" i="22"/>
  <c r="EQ35" i="22"/>
  <c r="EM35" i="22"/>
  <c r="EQ33" i="22"/>
  <c r="EP33" i="22"/>
  <c r="EP191" i="22" s="1"/>
  <c r="EN33" i="22"/>
  <c r="EQ32" i="22"/>
  <c r="EN32" i="22"/>
  <c r="EM32" i="22" s="1"/>
  <c r="ET31" i="22"/>
  <c r="ET202" i="22" s="1"/>
  <c r="ER31" i="22"/>
  <c r="ER202" i="22" s="1"/>
  <c r="EP31" i="22"/>
  <c r="EM30" i="22"/>
  <c r="ER28" i="22"/>
  <c r="EQ28" i="22" s="1"/>
  <c r="EP28" i="22"/>
  <c r="EO28" i="22"/>
  <c r="EO201" i="22" s="1"/>
  <c r="EQ27" i="22"/>
  <c r="EP27" i="22"/>
  <c r="EP200" i="22" s="1"/>
  <c r="EO27" i="22"/>
  <c r="EO200" i="22" s="1"/>
  <c r="EN27" i="22"/>
  <c r="EN200" i="22" s="1"/>
  <c r="ET26" i="22"/>
  <c r="ET199" i="22" s="1"/>
  <c r="EQ199" i="22" s="1"/>
  <c r="ET25" i="22"/>
  <c r="ET198" i="22" s="1"/>
  <c r="ER25" i="22"/>
  <c r="EQ24" i="22"/>
  <c r="EN24" i="22"/>
  <c r="EN197" i="22" s="1"/>
  <c r="EM197" i="22" s="1"/>
  <c r="EQ23" i="22"/>
  <c r="EN23" i="22"/>
  <c r="EM23" i="22" s="1"/>
  <c r="ER22" i="22"/>
  <c r="EQ22" i="22" s="1"/>
  <c r="EP22" i="22"/>
  <c r="EP195" i="22" s="1"/>
  <c r="EO22" i="22"/>
  <c r="EO195" i="22" s="1"/>
  <c r="ER21" i="22"/>
  <c r="EQ21" i="22" s="1"/>
  <c r="EQ20" i="22"/>
  <c r="EN20" i="22"/>
  <c r="EM20" i="22" s="1"/>
  <c r="ER19" i="22"/>
  <c r="EQ19" i="22" s="1"/>
  <c r="EQ18" i="22"/>
  <c r="EM18" i="22"/>
  <c r="EO17" i="22"/>
  <c r="EO19" i="22" s="1"/>
  <c r="EO14" i="22" s="1"/>
  <c r="EM17" i="22"/>
  <c r="EQ16" i="22"/>
  <c r="EP16" i="22"/>
  <c r="EP19" i="22" s="1"/>
  <c r="EO16" i="22"/>
  <c r="EN16" i="22"/>
  <c r="EN19" i="22" s="1"/>
  <c r="ES14" i="22"/>
  <c r="EQ13" i="22"/>
  <c r="EM13" i="22"/>
  <c r="ET11" i="22"/>
  <c r="EQ11" i="22" s="1"/>
  <c r="ES11" i="22"/>
  <c r="EP11" i="22"/>
  <c r="EM11" i="22" s="1"/>
  <c r="EO11" i="22"/>
  <c r="EN11" i="22"/>
  <c r="EM151" i="22" l="1"/>
  <c r="EQ31" i="22"/>
  <c r="EO46" i="22"/>
  <c r="EO44" i="22" s="1"/>
  <c r="EM118" i="22"/>
  <c r="EQ84" i="22"/>
  <c r="EQ151" i="22"/>
  <c r="EN162" i="22"/>
  <c r="EM153" i="22"/>
  <c r="EQ140" i="22"/>
  <c r="EQ156" i="22"/>
  <c r="EO198" i="22"/>
  <c r="EN22" i="22"/>
  <c r="EM22" i="22" s="1"/>
  <c r="EQ25" i="22"/>
  <c r="EP201" i="22"/>
  <c r="EN64" i="22"/>
  <c r="EM64" i="22" s="1"/>
  <c r="EQ104" i="22"/>
  <c r="EQ191" i="22"/>
  <c r="EM33" i="22"/>
  <c r="EM60" i="22"/>
  <c r="EQ177" i="22"/>
  <c r="EN46" i="22"/>
  <c r="EQ57" i="22"/>
  <c r="EQ120" i="22"/>
  <c r="EO194" i="22"/>
  <c r="EO189" i="22"/>
  <c r="EN21" i="22"/>
  <c r="EM21" i="22" s="1"/>
  <c r="EM24" i="22"/>
  <c r="EN31" i="22"/>
  <c r="EM31" i="22" s="1"/>
  <c r="ER70" i="22"/>
  <c r="EN90" i="22"/>
  <c r="EN97" i="22"/>
  <c r="EM97" i="22" s="1"/>
  <c r="EM140" i="22"/>
  <c r="EM162" i="22"/>
  <c r="ET180" i="22"/>
  <c r="ET187" i="22" s="1"/>
  <c r="ET14" i="22"/>
  <c r="EN77" i="22"/>
  <c r="EM77" i="22" s="1"/>
  <c r="EN84" i="22"/>
  <c r="EM87" i="22"/>
  <c r="EO170" i="22"/>
  <c r="EN196" i="22"/>
  <c r="EM196" i="22" s="1"/>
  <c r="EN25" i="22"/>
  <c r="EN198" i="22" s="1"/>
  <c r="EN28" i="22"/>
  <c r="EM28" i="22" s="1"/>
  <c r="EN72" i="22"/>
  <c r="EM72" i="22" s="1"/>
  <c r="ES180" i="22"/>
  <c r="ES187" i="22" s="1"/>
  <c r="ER189" i="22"/>
  <c r="ER190" i="22"/>
  <c r="EQ190" i="22" s="1"/>
  <c r="EN131" i="22"/>
  <c r="EM137" i="22"/>
  <c r="EP190" i="22"/>
  <c r="EO196" i="22"/>
  <c r="EQ162" i="22"/>
  <c r="EQ170" i="22"/>
  <c r="EP194" i="22"/>
  <c r="EN156" i="22"/>
  <c r="EM156" i="22" s="1"/>
  <c r="EQ77" i="22"/>
  <c r="EP202" i="22"/>
  <c r="EQ70" i="22"/>
  <c r="ER44" i="22"/>
  <c r="EQ44" i="22" s="1"/>
  <c r="EM120" i="22"/>
  <c r="EP193" i="22"/>
  <c r="EQ202" i="22"/>
  <c r="EM200" i="22"/>
  <c r="EM19" i="22"/>
  <c r="EN170" i="22"/>
  <c r="EM16" i="22"/>
  <c r="EP25" i="22"/>
  <c r="EP198" i="22" s="1"/>
  <c r="EM27" i="22"/>
  <c r="ER51" i="22"/>
  <c r="EQ51" i="22" s="1"/>
  <c r="EN53" i="22"/>
  <c r="EP57" i="22"/>
  <c r="EP84" i="22"/>
  <c r="EM84" i="22" s="1"/>
  <c r="EP90" i="22"/>
  <c r="EN104" i="22"/>
  <c r="EM104" i="22" s="1"/>
  <c r="ER110" i="22"/>
  <c r="EQ110" i="22" s="1"/>
  <c r="EN112" i="22"/>
  <c r="EM123" i="22"/>
  <c r="EM143" i="22"/>
  <c r="EP183" i="22"/>
  <c r="EM183" i="22" s="1"/>
  <c r="EN190" i="22"/>
  <c r="EN191" i="22"/>
  <c r="EM191" i="22" s="1"/>
  <c r="EN193" i="22"/>
  <c r="ER193" i="22"/>
  <c r="EQ193" i="22" s="1"/>
  <c r="ER194" i="22"/>
  <c r="EQ194" i="22" s="1"/>
  <c r="EN195" i="22"/>
  <c r="EM195" i="22" s="1"/>
  <c r="ER195" i="22"/>
  <c r="EQ195" i="22" s="1"/>
  <c r="ER198" i="22"/>
  <c r="EQ198" i="22" s="1"/>
  <c r="EN201" i="22"/>
  <c r="EM201" i="22" s="1"/>
  <c r="ER201" i="22"/>
  <c r="EQ201" i="22" s="1"/>
  <c r="ER14" i="22"/>
  <c r="EQ14" i="22" s="1"/>
  <c r="EP26" i="22"/>
  <c r="EP189" i="22" s="1"/>
  <c r="EO180" i="22"/>
  <c r="EO187" i="22" s="1"/>
  <c r="EM144" i="22"/>
  <c r="ES189" i="22"/>
  <c r="EO190" i="22"/>
  <c r="EO193" i="22"/>
  <c r="EQ26" i="22"/>
  <c r="EN57" i="22"/>
  <c r="EM57" i="22" s="1"/>
  <c r="ET189" i="22"/>
  <c r="EQ189" i="22" s="1"/>
  <c r="EN14" i="22" l="1"/>
  <c r="EN202" i="22"/>
  <c r="EM202" i="22" s="1"/>
  <c r="EM190" i="22"/>
  <c r="EN70" i="22"/>
  <c r="EM70" i="22" s="1"/>
  <c r="EM90" i="22"/>
  <c r="EN126" i="22"/>
  <c r="EM126" i="22" s="1"/>
  <c r="EM131" i="22"/>
  <c r="EM46" i="22"/>
  <c r="EN44" i="22"/>
  <c r="EM44" i="22" s="1"/>
  <c r="EP199" i="22"/>
  <c r="EM199" i="22" s="1"/>
  <c r="EM26" i="22"/>
  <c r="EM198" i="22"/>
  <c r="EP14" i="22"/>
  <c r="EM14" i="22" s="1"/>
  <c r="EM112" i="22"/>
  <c r="EN110" i="22"/>
  <c r="EM110" i="22" s="1"/>
  <c r="EN194" i="22"/>
  <c r="EM194" i="22" s="1"/>
  <c r="EM53" i="22"/>
  <c r="EN51" i="22"/>
  <c r="EM51" i="22" s="1"/>
  <c r="EM193" i="22"/>
  <c r="EN189" i="22"/>
  <c r="EM189" i="22" s="1"/>
  <c r="EM170" i="22"/>
  <c r="ER180" i="22"/>
  <c r="EM25" i="22"/>
  <c r="EN180" i="22" l="1"/>
  <c r="EN187" i="22" s="1"/>
  <c r="EQ180" i="22"/>
  <c r="EQ187" i="22" s="1"/>
  <c r="ER187" i="22"/>
  <c r="EP180" i="22"/>
  <c r="EP187" i="22" s="1"/>
  <c r="EM180" i="22" l="1"/>
  <c r="EM187" i="22" s="1"/>
  <c r="EK12" i="22" l="1"/>
  <c r="EL12" i="22"/>
  <c r="EK15" i="22"/>
  <c r="EL15" i="22"/>
  <c r="EK17" i="22"/>
  <c r="EK29" i="22"/>
  <c r="EL29" i="22"/>
  <c r="EK30" i="22"/>
  <c r="EL30" i="22"/>
  <c r="EK32" i="22"/>
  <c r="EL32" i="22"/>
  <c r="EK34" i="22"/>
  <c r="EK39" i="22"/>
  <c r="EL39" i="22"/>
  <c r="EK45" i="22"/>
  <c r="EL45" i="22"/>
  <c r="EK49" i="22"/>
  <c r="EK50" i="22"/>
  <c r="EL50" i="22"/>
  <c r="EK52" i="22"/>
  <c r="EL52" i="22"/>
  <c r="EK56" i="22"/>
  <c r="EK58" i="22"/>
  <c r="EL58" i="22"/>
  <c r="EK63" i="22"/>
  <c r="EK65" i="22"/>
  <c r="EL65" i="22"/>
  <c r="EK69" i="22"/>
  <c r="EK71" i="22"/>
  <c r="EL71" i="22"/>
  <c r="EK78" i="22"/>
  <c r="EL78" i="22"/>
  <c r="EK83" i="22"/>
  <c r="EK85" i="22"/>
  <c r="EL85" i="22"/>
  <c r="EK91" i="22"/>
  <c r="EL91" i="22"/>
  <c r="EK98" i="22"/>
  <c r="EL98" i="22"/>
  <c r="EK103" i="22"/>
  <c r="EK105" i="22"/>
  <c r="EL105" i="22"/>
  <c r="EK111" i="22"/>
  <c r="EL111" i="22"/>
  <c r="EK114" i="22"/>
  <c r="EK115" i="22"/>
  <c r="EK119" i="22"/>
  <c r="EL119" i="22"/>
  <c r="EK121" i="22"/>
  <c r="EL121" i="22"/>
  <c r="EK125" i="22"/>
  <c r="EL125" i="22"/>
  <c r="EK127" i="22"/>
  <c r="EL127" i="22"/>
  <c r="EK141" i="22"/>
  <c r="EL141" i="22"/>
  <c r="EK145" i="22"/>
  <c r="EK146" i="22"/>
  <c r="EK147" i="22"/>
  <c r="EK150" i="22"/>
  <c r="EL150" i="22"/>
  <c r="EK152" i="22"/>
  <c r="EL152" i="22"/>
  <c r="EK155" i="22"/>
  <c r="EK157" i="22"/>
  <c r="EL157" i="22"/>
  <c r="EK163" i="22"/>
  <c r="EL163" i="22"/>
  <c r="EK164" i="22"/>
  <c r="EK171" i="22"/>
  <c r="EL171" i="22"/>
  <c r="EK172" i="22"/>
  <c r="EL172" i="22"/>
  <c r="EK178" i="22"/>
  <c r="EL178" i="22"/>
  <c r="EK181" i="22"/>
  <c r="EL181" i="22"/>
  <c r="EK182" i="22"/>
  <c r="EL182" i="22"/>
  <c r="EK188" i="22"/>
  <c r="EL188" i="22"/>
  <c r="EK192" i="22"/>
  <c r="EL192" i="22"/>
  <c r="EK204" i="22"/>
  <c r="EL204" i="22"/>
  <c r="EK205" i="22"/>
  <c r="EL205" i="22"/>
  <c r="EP203" i="22"/>
  <c r="EO203" i="22"/>
  <c r="EN203" i="22"/>
  <c r="EM203" i="22" l="1"/>
  <c r="DW27" i="22" l="1"/>
  <c r="DW66" i="22" l="1"/>
  <c r="DV25" i="22"/>
  <c r="DW19" i="22"/>
  <c r="DV19" i="22"/>
  <c r="DW17" i="22"/>
  <c r="DV17" i="22"/>
  <c r="DV31" i="22"/>
  <c r="DW72" i="22" l="1"/>
  <c r="DV27" i="22" l="1"/>
  <c r="DV54" i="22" l="1"/>
  <c r="DV189" i="22" l="1"/>
  <c r="DV158" i="22"/>
  <c r="DV100" i="22" l="1"/>
  <c r="EB202" i="22" l="1"/>
  <c r="EA202" i="22"/>
  <c r="DZ202" i="22"/>
  <c r="DW202" i="22"/>
  <c r="EB201" i="22"/>
  <c r="EA201" i="22"/>
  <c r="DZ201" i="22"/>
  <c r="DX201" i="22"/>
  <c r="DW201" i="22"/>
  <c r="DV201" i="22"/>
  <c r="EB200" i="22"/>
  <c r="EA200" i="22"/>
  <c r="DZ200" i="22"/>
  <c r="DX200" i="22"/>
  <c r="DW200" i="22"/>
  <c r="DV200" i="22"/>
  <c r="EB199" i="22"/>
  <c r="EA199" i="22"/>
  <c r="DZ199" i="22"/>
  <c r="DX199" i="22"/>
  <c r="DW199" i="22"/>
  <c r="DV199" i="22"/>
  <c r="EB198" i="22"/>
  <c r="EA198" i="22"/>
  <c r="DZ198" i="22"/>
  <c r="DX198" i="22"/>
  <c r="EB197" i="22"/>
  <c r="EA197" i="22"/>
  <c r="DZ197" i="22"/>
  <c r="DX197" i="22"/>
  <c r="DW197" i="22"/>
  <c r="DV197" i="22"/>
  <c r="EB196" i="22"/>
  <c r="EA196" i="22"/>
  <c r="DZ196" i="22"/>
  <c r="DX196" i="22"/>
  <c r="DW196" i="22"/>
  <c r="DV196" i="22"/>
  <c r="EB195" i="22"/>
  <c r="EA195" i="22"/>
  <c r="DZ195" i="22"/>
  <c r="DX195" i="22"/>
  <c r="DW195" i="22"/>
  <c r="EB194" i="22"/>
  <c r="DY194" i="22" s="1"/>
  <c r="EA194" i="22"/>
  <c r="DZ194" i="22"/>
  <c r="DX194" i="22"/>
  <c r="EB193" i="22"/>
  <c r="EA193" i="22"/>
  <c r="DZ193" i="22"/>
  <c r="DX193" i="22"/>
  <c r="DW193" i="22"/>
  <c r="DV193" i="22"/>
  <c r="EB191" i="22"/>
  <c r="EA191" i="22"/>
  <c r="DZ191" i="22"/>
  <c r="DX191" i="22"/>
  <c r="DW191" i="22"/>
  <c r="DV191" i="22"/>
  <c r="EB190" i="22"/>
  <c r="DY190" i="22" s="1"/>
  <c r="EA190" i="22"/>
  <c r="DZ190" i="22"/>
  <c r="DX190" i="22"/>
  <c r="DW190" i="22"/>
  <c r="EB189" i="22"/>
  <c r="EA189" i="22"/>
  <c r="DZ189" i="22"/>
  <c r="DU186" i="22"/>
  <c r="DY184" i="22"/>
  <c r="DX184" i="22"/>
  <c r="DV184" i="22"/>
  <c r="DY183" i="22"/>
  <c r="DU183" i="22"/>
  <c r="EG182" i="22"/>
  <c r="DY182" i="22"/>
  <c r="DY179" i="22"/>
  <c r="DU179" i="22"/>
  <c r="EB177" i="22"/>
  <c r="EA177" i="22"/>
  <c r="DZ177" i="22"/>
  <c r="DX177" i="22"/>
  <c r="DU177" i="22" s="1"/>
  <c r="DW177" i="22"/>
  <c r="DV177" i="22"/>
  <c r="DY176" i="22"/>
  <c r="DU176" i="22"/>
  <c r="DY175" i="22"/>
  <c r="DU175" i="22"/>
  <c r="DY174" i="22"/>
  <c r="DU174" i="22"/>
  <c r="DY173" i="22"/>
  <c r="DW198" i="22"/>
  <c r="DU173" i="22"/>
  <c r="EB170" i="22"/>
  <c r="EA170" i="22"/>
  <c r="DZ170" i="22"/>
  <c r="DX170" i="22"/>
  <c r="DV170" i="22"/>
  <c r="DY169" i="22"/>
  <c r="DU169" i="22"/>
  <c r="DY168" i="22"/>
  <c r="DU168" i="22"/>
  <c r="DY167" i="22"/>
  <c r="DU167" i="22"/>
  <c r="DY166" i="22"/>
  <c r="DU166" i="22"/>
  <c r="DY165" i="22"/>
  <c r="DU165" i="22"/>
  <c r="DU164" i="22"/>
  <c r="EB162" i="22"/>
  <c r="EA162" i="22"/>
  <c r="DZ162" i="22"/>
  <c r="DX162" i="22"/>
  <c r="DW162" i="22"/>
  <c r="DV162" i="22"/>
  <c r="DY161" i="22"/>
  <c r="DU161" i="22"/>
  <c r="DY160" i="22"/>
  <c r="DU160" i="22"/>
  <c r="DY159" i="22"/>
  <c r="DU159" i="22"/>
  <c r="DY158" i="22"/>
  <c r="DU158" i="22"/>
  <c r="EB156" i="22"/>
  <c r="EA156" i="22"/>
  <c r="DZ156" i="22"/>
  <c r="DX156" i="22"/>
  <c r="DW156" i="22"/>
  <c r="DV156" i="22"/>
  <c r="DU156" i="22" s="1"/>
  <c r="DY155" i="22"/>
  <c r="DU155" i="22"/>
  <c r="DY154" i="22"/>
  <c r="DU154" i="22"/>
  <c r="DY153" i="22"/>
  <c r="DU153" i="22"/>
  <c r="EB151" i="22"/>
  <c r="EA151" i="22"/>
  <c r="DZ151" i="22"/>
  <c r="DX151" i="22"/>
  <c r="DW151" i="22"/>
  <c r="DV151" i="22"/>
  <c r="DU151" i="22" s="1"/>
  <c r="DY149" i="22"/>
  <c r="DU149" i="22"/>
  <c r="DY148" i="22"/>
  <c r="DU148" i="22"/>
  <c r="DU147" i="22"/>
  <c r="DU146" i="22"/>
  <c r="DU145" i="22"/>
  <c r="DY144" i="22"/>
  <c r="DY143" i="22"/>
  <c r="DU143" i="22"/>
  <c r="DU142" i="22"/>
  <c r="EB140" i="22"/>
  <c r="EA140" i="22"/>
  <c r="DZ140" i="22"/>
  <c r="DX140" i="22"/>
  <c r="DU140" i="22" s="1"/>
  <c r="DW140" i="22"/>
  <c r="DV140" i="22"/>
  <c r="DY138" i="22"/>
  <c r="DU138" i="22"/>
  <c r="DY137" i="22"/>
  <c r="DU137" i="22"/>
  <c r="DY136" i="22"/>
  <c r="DU136" i="22"/>
  <c r="DY135" i="22"/>
  <c r="DU135" i="22"/>
  <c r="DY134" i="22"/>
  <c r="DU134" i="22"/>
  <c r="DY133" i="22"/>
  <c r="DU133" i="22"/>
  <c r="DY132" i="22"/>
  <c r="DU132" i="22"/>
  <c r="DY131" i="22"/>
  <c r="DU131" i="22"/>
  <c r="DY130" i="22"/>
  <c r="DU130" i="22"/>
  <c r="DY129" i="22"/>
  <c r="DU129" i="22"/>
  <c r="EG128" i="22"/>
  <c r="EC128" i="22"/>
  <c r="EL128" i="22" s="1"/>
  <c r="DY128" i="22"/>
  <c r="DU128" i="22"/>
  <c r="EB126" i="22"/>
  <c r="EA126" i="22"/>
  <c r="DZ126" i="22"/>
  <c r="DY126" i="22" s="1"/>
  <c r="DX126" i="22"/>
  <c r="DW126" i="22"/>
  <c r="DV126" i="22"/>
  <c r="DY124" i="22"/>
  <c r="DU124" i="22"/>
  <c r="DY123" i="22"/>
  <c r="DU123" i="22"/>
  <c r="DY122" i="22"/>
  <c r="DU122" i="22"/>
  <c r="EB120" i="22"/>
  <c r="DY120" i="22" s="1"/>
  <c r="EA120" i="22"/>
  <c r="DZ120" i="22"/>
  <c r="DX120" i="22"/>
  <c r="DW120" i="22"/>
  <c r="DV120" i="22"/>
  <c r="DY118" i="22"/>
  <c r="DU118" i="22"/>
  <c r="DY117" i="22"/>
  <c r="DU117" i="22"/>
  <c r="DY116" i="22"/>
  <c r="DU116" i="22"/>
  <c r="DU115" i="22"/>
  <c r="DU114" i="22"/>
  <c r="DY113" i="22"/>
  <c r="DU113" i="22"/>
  <c r="DY112" i="22"/>
  <c r="DU112" i="22"/>
  <c r="EB110" i="22"/>
  <c r="EA110" i="22"/>
  <c r="DZ110" i="22"/>
  <c r="DY110" i="22" s="1"/>
  <c r="DX110" i="22"/>
  <c r="DW110" i="22"/>
  <c r="DV110" i="22"/>
  <c r="EG109" i="22"/>
  <c r="EC109" i="22"/>
  <c r="EL109" i="22" s="1"/>
  <c r="DY109" i="22"/>
  <c r="DU109" i="22"/>
  <c r="DY108" i="22"/>
  <c r="DU108" i="22"/>
  <c r="DY107" i="22"/>
  <c r="DU107" i="22"/>
  <c r="DY106" i="22"/>
  <c r="DU106" i="22"/>
  <c r="EB104" i="22"/>
  <c r="EA104" i="22"/>
  <c r="DZ104" i="22"/>
  <c r="DY104" i="22" s="1"/>
  <c r="DX104" i="22"/>
  <c r="DW104" i="22"/>
  <c r="DV104" i="22"/>
  <c r="DU103" i="22"/>
  <c r="DY102" i="22"/>
  <c r="DU102" i="22"/>
  <c r="DY101" i="22"/>
  <c r="DU101" i="22"/>
  <c r="DY100" i="22"/>
  <c r="DU100" i="22"/>
  <c r="DY99" i="22"/>
  <c r="DU99" i="22"/>
  <c r="EB97" i="22"/>
  <c r="EA97" i="22"/>
  <c r="DZ97" i="22"/>
  <c r="DX97" i="22"/>
  <c r="DW97" i="22"/>
  <c r="DV97" i="22"/>
  <c r="DY96" i="22"/>
  <c r="DU96" i="22"/>
  <c r="DY95" i="22"/>
  <c r="DU95" i="22"/>
  <c r="DY94" i="22"/>
  <c r="DU94" i="22"/>
  <c r="DY93" i="22"/>
  <c r="DU93" i="22"/>
  <c r="DY92" i="22"/>
  <c r="DU92" i="22"/>
  <c r="EB90" i="22"/>
  <c r="EA90" i="22"/>
  <c r="DZ90" i="22"/>
  <c r="DX90" i="22"/>
  <c r="DW90" i="22"/>
  <c r="DV90" i="22"/>
  <c r="DY89" i="22"/>
  <c r="DU89" i="22"/>
  <c r="DY88" i="22"/>
  <c r="DU88" i="22"/>
  <c r="DY87" i="22"/>
  <c r="DU87" i="22"/>
  <c r="DY86" i="22"/>
  <c r="EB84" i="22"/>
  <c r="EA84" i="22"/>
  <c r="DZ84" i="22"/>
  <c r="DX84" i="22"/>
  <c r="DW84" i="22"/>
  <c r="DV84" i="22"/>
  <c r="DU83" i="22"/>
  <c r="DY82" i="22"/>
  <c r="DU82" i="22"/>
  <c r="DY81" i="22"/>
  <c r="DU81" i="22"/>
  <c r="DY80" i="22"/>
  <c r="DU80" i="22"/>
  <c r="DY79" i="22"/>
  <c r="EB77" i="22"/>
  <c r="EA77" i="22"/>
  <c r="DZ77" i="22"/>
  <c r="DX77" i="22"/>
  <c r="DW77" i="22"/>
  <c r="DV77" i="22"/>
  <c r="DY76" i="22"/>
  <c r="DU76" i="22"/>
  <c r="DY75" i="22"/>
  <c r="DU75" i="22"/>
  <c r="DY74" i="22"/>
  <c r="DU74" i="22"/>
  <c r="DY73" i="22"/>
  <c r="DU73" i="22"/>
  <c r="DY72" i="22"/>
  <c r="EB70" i="22"/>
  <c r="EA70" i="22"/>
  <c r="DZ70" i="22"/>
  <c r="DY70" i="22" s="1"/>
  <c r="DX70" i="22"/>
  <c r="DW70" i="22"/>
  <c r="DV70" i="22"/>
  <c r="DU69" i="22"/>
  <c r="DY68" i="22"/>
  <c r="DU68" i="22"/>
  <c r="DY67" i="22"/>
  <c r="DU67" i="22"/>
  <c r="DY66" i="22"/>
  <c r="DU66" i="22"/>
  <c r="EB64" i="22"/>
  <c r="EA64" i="22"/>
  <c r="DZ64" i="22"/>
  <c r="DX64" i="22"/>
  <c r="DW64" i="22"/>
  <c r="DV64" i="22"/>
  <c r="DU64" i="22" s="1"/>
  <c r="DU63" i="22"/>
  <c r="DY62" i="22"/>
  <c r="DU62" i="22"/>
  <c r="DY61" i="22"/>
  <c r="DU61" i="22"/>
  <c r="DY60" i="22"/>
  <c r="DU60" i="22"/>
  <c r="DY59" i="22"/>
  <c r="DU59" i="22"/>
  <c r="EB57" i="22"/>
  <c r="EA57" i="22"/>
  <c r="DZ57" i="22"/>
  <c r="DY57" i="22" s="1"/>
  <c r="DX57" i="22"/>
  <c r="DW57" i="22"/>
  <c r="DV57" i="22"/>
  <c r="DU57" i="22" s="1"/>
  <c r="DU56" i="22"/>
  <c r="DY55" i="22"/>
  <c r="DU55" i="22"/>
  <c r="DY54" i="22"/>
  <c r="DU54" i="22"/>
  <c r="DY53" i="22"/>
  <c r="DU53" i="22"/>
  <c r="EB51" i="22"/>
  <c r="EA51" i="22"/>
  <c r="DZ51" i="22"/>
  <c r="DX51" i="22"/>
  <c r="DW51" i="22"/>
  <c r="DV51" i="22"/>
  <c r="DU49" i="22"/>
  <c r="DY48" i="22"/>
  <c r="DU48" i="22"/>
  <c r="DY47" i="22"/>
  <c r="DU47" i="22"/>
  <c r="DY46" i="22"/>
  <c r="DU46" i="22"/>
  <c r="EB44" i="22"/>
  <c r="DY44" i="22" s="1"/>
  <c r="EA44" i="22"/>
  <c r="DZ44" i="22"/>
  <c r="DX44" i="22"/>
  <c r="DW44" i="22"/>
  <c r="DV44" i="22"/>
  <c r="EG43" i="22"/>
  <c r="DY43" i="22"/>
  <c r="DU43" i="22"/>
  <c r="DY42" i="22"/>
  <c r="DU42" i="22"/>
  <c r="DY41" i="22"/>
  <c r="DU41" i="22"/>
  <c r="DY40" i="22"/>
  <c r="DU40" i="22"/>
  <c r="EB38" i="22"/>
  <c r="EA38" i="22"/>
  <c r="DZ38" i="22"/>
  <c r="DX38" i="22"/>
  <c r="DW38" i="22"/>
  <c r="DV38" i="22"/>
  <c r="DU38" i="22" s="1"/>
  <c r="EG37" i="22"/>
  <c r="EC37" i="22"/>
  <c r="EL37" i="22" s="1"/>
  <c r="DY37" i="22"/>
  <c r="DU37" i="22"/>
  <c r="DY36" i="22"/>
  <c r="DU36" i="22"/>
  <c r="DY35" i="22"/>
  <c r="DU35" i="22"/>
  <c r="DY33" i="22"/>
  <c r="DU33" i="22"/>
  <c r="DY31" i="22"/>
  <c r="DV202" i="22"/>
  <c r="DY28" i="22"/>
  <c r="DU28" i="22"/>
  <c r="DY27" i="22"/>
  <c r="DU27" i="22"/>
  <c r="DY26" i="22"/>
  <c r="DU26" i="22"/>
  <c r="DY25" i="22"/>
  <c r="DU25" i="22"/>
  <c r="DY24" i="22"/>
  <c r="DU24" i="22"/>
  <c r="DY23" i="22"/>
  <c r="DU23" i="22"/>
  <c r="DY22" i="22"/>
  <c r="DU22" i="22"/>
  <c r="DY21" i="22"/>
  <c r="DU21" i="22"/>
  <c r="DY20" i="22"/>
  <c r="DU20" i="22"/>
  <c r="DY19" i="22"/>
  <c r="DU19" i="22"/>
  <c r="DY18" i="22"/>
  <c r="DU18" i="22"/>
  <c r="DY17" i="22"/>
  <c r="DU17" i="22"/>
  <c r="DY16" i="22"/>
  <c r="DU16" i="22"/>
  <c r="EB14" i="22"/>
  <c r="EA14" i="22"/>
  <c r="DZ14" i="22"/>
  <c r="DX14" i="22"/>
  <c r="DW14" i="22"/>
  <c r="DV14" i="22"/>
  <c r="DY13" i="22"/>
  <c r="DU13" i="22"/>
  <c r="EB11" i="22"/>
  <c r="DY11" i="22" s="1"/>
  <c r="EA11" i="22"/>
  <c r="DX11" i="22"/>
  <c r="DW11" i="22"/>
  <c r="DV11" i="22"/>
  <c r="DU184" i="22" l="1"/>
  <c r="DY170" i="22"/>
  <c r="DY201" i="22"/>
  <c r="DU77" i="22"/>
  <c r="DU199" i="22"/>
  <c r="DU110" i="22"/>
  <c r="DU44" i="22"/>
  <c r="DY202" i="22"/>
  <c r="DY51" i="22"/>
  <c r="DU201" i="22"/>
  <c r="DU84" i="22"/>
  <c r="DY97" i="22"/>
  <c r="DU120" i="22"/>
  <c r="DU70" i="22"/>
  <c r="DU51" i="22"/>
  <c r="DY140" i="22"/>
  <c r="DY197" i="22"/>
  <c r="EB203" i="22"/>
  <c r="DY14" i="22"/>
  <c r="DY64" i="22"/>
  <c r="DY77" i="22"/>
  <c r="DY162" i="22"/>
  <c r="DY177" i="22"/>
  <c r="DY38" i="22"/>
  <c r="DY90" i="22"/>
  <c r="DY84" i="22"/>
  <c r="DU90" i="22"/>
  <c r="DU104" i="22"/>
  <c r="DY195" i="22"/>
  <c r="DY200" i="22"/>
  <c r="DY156" i="22"/>
  <c r="DY191" i="22"/>
  <c r="EB180" i="22"/>
  <c r="EB187" i="22" s="1"/>
  <c r="EA180" i="22"/>
  <c r="EA187" i="22" s="1"/>
  <c r="EA203" i="22"/>
  <c r="DY196" i="22"/>
  <c r="DY199" i="22"/>
  <c r="DY198" i="22"/>
  <c r="DZ203" i="22"/>
  <c r="DY189" i="22"/>
  <c r="DU170" i="22"/>
  <c r="DU97" i="22"/>
  <c r="DU126" i="22"/>
  <c r="DU196" i="22"/>
  <c r="DU14" i="22"/>
  <c r="DU162" i="22"/>
  <c r="DU11" i="22"/>
  <c r="DU197" i="22"/>
  <c r="DU200" i="22"/>
  <c r="DU191" i="22"/>
  <c r="DX180" i="22"/>
  <c r="DX187" i="22" s="1"/>
  <c r="DU72" i="22"/>
  <c r="DU79" i="22"/>
  <c r="DV194" i="22"/>
  <c r="DU194" i="22" s="1"/>
  <c r="DU144" i="22"/>
  <c r="DW189" i="22"/>
  <c r="DX202" i="22"/>
  <c r="DU202" i="22" s="1"/>
  <c r="DX189" i="22"/>
  <c r="DW194" i="22"/>
  <c r="DW203" i="22" s="1"/>
  <c r="DV195" i="22"/>
  <c r="DU195" i="22" s="1"/>
  <c r="DV190" i="22"/>
  <c r="DU190" i="22" s="1"/>
  <c r="DY151" i="22"/>
  <c r="DW170" i="22"/>
  <c r="DW180" i="22" s="1"/>
  <c r="DW187" i="22" s="1"/>
  <c r="DU86" i="22"/>
  <c r="DV198" i="22"/>
  <c r="DU198" i="22" s="1"/>
  <c r="DU31" i="22"/>
  <c r="DV180" i="22"/>
  <c r="DZ180" i="22"/>
  <c r="DU193" i="22"/>
  <c r="DY193" i="22"/>
  <c r="DH31" i="22"/>
  <c r="DY203" i="22" l="1"/>
  <c r="DX203" i="22"/>
  <c r="DV203" i="22"/>
  <c r="DU189" i="22"/>
  <c r="DZ187" i="22"/>
  <c r="DY180" i="22"/>
  <c r="DY187" i="22" s="1"/>
  <c r="DU180" i="22"/>
  <c r="DU187" i="22" s="1"/>
  <c r="DV187" i="22"/>
  <c r="DU203" i="22"/>
  <c r="DF144" i="22"/>
  <c r="DG92" i="22"/>
  <c r="DF92" i="22"/>
  <c r="DG72" i="22"/>
  <c r="DF72" i="22"/>
  <c r="DF173" i="22"/>
  <c r="DF25" i="22"/>
  <c r="DF86" i="22"/>
  <c r="DF79" i="22"/>
  <c r="DF99" i="22"/>
  <c r="DG173" i="22" l="1"/>
  <c r="DF31" i="22" l="1"/>
  <c r="DL202" i="22"/>
  <c r="DK202" i="22"/>
  <c r="DJ202" i="22"/>
  <c r="DG202" i="22"/>
  <c r="DL201" i="22"/>
  <c r="DK201" i="22"/>
  <c r="DJ201" i="22"/>
  <c r="DL200" i="22"/>
  <c r="DK200" i="22"/>
  <c r="DJ200" i="22"/>
  <c r="DH200" i="22"/>
  <c r="DG200" i="22"/>
  <c r="DF200" i="22"/>
  <c r="DL199" i="22"/>
  <c r="DK199" i="22"/>
  <c r="DJ199" i="22"/>
  <c r="DH199" i="22"/>
  <c r="DG199" i="22"/>
  <c r="DF199" i="22"/>
  <c r="DL198" i="22"/>
  <c r="DK198" i="22"/>
  <c r="DJ198" i="22"/>
  <c r="DG198" i="22"/>
  <c r="DL197" i="22"/>
  <c r="DK197" i="22"/>
  <c r="DJ197" i="22"/>
  <c r="DH197" i="22"/>
  <c r="DG197" i="22"/>
  <c r="DF197" i="22"/>
  <c r="DL196" i="22"/>
  <c r="DK196" i="22"/>
  <c r="DJ196" i="22"/>
  <c r="DH196" i="22"/>
  <c r="DG196" i="22"/>
  <c r="DF196" i="22"/>
  <c r="DL195" i="22"/>
  <c r="DI195" i="22" s="1"/>
  <c r="DK195" i="22"/>
  <c r="DJ195" i="22"/>
  <c r="DH195" i="22"/>
  <c r="DG195" i="22"/>
  <c r="DF195" i="22"/>
  <c r="DL194" i="22"/>
  <c r="DK194" i="22"/>
  <c r="DJ194" i="22"/>
  <c r="DH194" i="22"/>
  <c r="DL193" i="22"/>
  <c r="DK193" i="22"/>
  <c r="DJ193" i="22"/>
  <c r="DH193" i="22"/>
  <c r="DG193" i="22"/>
  <c r="DF193" i="22"/>
  <c r="DL191" i="22"/>
  <c r="DK191" i="22"/>
  <c r="DJ191" i="22"/>
  <c r="DH191" i="22"/>
  <c r="DG191" i="22"/>
  <c r="DF191" i="22"/>
  <c r="DL190" i="22"/>
  <c r="DK190" i="22"/>
  <c r="DJ190" i="22"/>
  <c r="DH190" i="22"/>
  <c r="DG190" i="22"/>
  <c r="DL189" i="22"/>
  <c r="DK189" i="22"/>
  <c r="DJ189" i="22"/>
  <c r="DE186" i="22"/>
  <c r="DI184" i="22"/>
  <c r="DH184" i="22"/>
  <c r="DF184" i="22"/>
  <c r="DI183" i="22"/>
  <c r="DE183" i="22"/>
  <c r="DQ182" i="22"/>
  <c r="DI182" i="22"/>
  <c r="DI179" i="22"/>
  <c r="DE179" i="22"/>
  <c r="DL177" i="22"/>
  <c r="DK177" i="22"/>
  <c r="DJ177" i="22"/>
  <c r="DH177" i="22"/>
  <c r="DG177" i="22"/>
  <c r="DF177" i="22"/>
  <c r="DI176" i="22"/>
  <c r="DE176" i="22"/>
  <c r="DI175" i="22"/>
  <c r="DE175" i="22"/>
  <c r="DI174" i="22"/>
  <c r="DE174" i="22"/>
  <c r="DI173" i="22"/>
  <c r="DE173" i="22"/>
  <c r="DL170" i="22"/>
  <c r="DK170" i="22"/>
  <c r="DJ170" i="22"/>
  <c r="DI170" i="22" s="1"/>
  <c r="DH170" i="22"/>
  <c r="DG170" i="22"/>
  <c r="DF170" i="22"/>
  <c r="DI169" i="22"/>
  <c r="DE169" i="22"/>
  <c r="DI168" i="22"/>
  <c r="DE168" i="22"/>
  <c r="DI167" i="22"/>
  <c r="DE167" i="22"/>
  <c r="DI166" i="22"/>
  <c r="DE166" i="22"/>
  <c r="DI165" i="22"/>
  <c r="DE165" i="22"/>
  <c r="DE164" i="22"/>
  <c r="DL162" i="22"/>
  <c r="DK162" i="22"/>
  <c r="DJ162" i="22"/>
  <c r="DH162" i="22"/>
  <c r="DG162" i="22"/>
  <c r="DF162" i="22"/>
  <c r="DI161" i="22"/>
  <c r="DE161" i="22"/>
  <c r="DI160" i="22"/>
  <c r="DE160" i="22"/>
  <c r="DI159" i="22"/>
  <c r="DE159" i="22"/>
  <c r="DI158" i="22"/>
  <c r="DE158" i="22"/>
  <c r="DL156" i="22"/>
  <c r="DK156" i="22"/>
  <c r="DJ156" i="22"/>
  <c r="DH156" i="22"/>
  <c r="DG156" i="22"/>
  <c r="DF156" i="22"/>
  <c r="DI155" i="22"/>
  <c r="DE155" i="22"/>
  <c r="DI154" i="22"/>
  <c r="DE154" i="22"/>
  <c r="DI153" i="22"/>
  <c r="DE153" i="22"/>
  <c r="DL151" i="22"/>
  <c r="DK151" i="22"/>
  <c r="DJ151" i="22"/>
  <c r="DH151" i="22"/>
  <c r="DG151" i="22"/>
  <c r="DF151" i="22"/>
  <c r="DI149" i="22"/>
  <c r="DE149" i="22"/>
  <c r="DI148" i="22"/>
  <c r="DE148" i="22"/>
  <c r="DE147" i="22"/>
  <c r="DE146" i="22"/>
  <c r="DE145" i="22"/>
  <c r="DI144" i="22"/>
  <c r="DE144" i="22"/>
  <c r="DI143" i="22"/>
  <c r="DE143" i="22"/>
  <c r="DE142" i="22"/>
  <c r="DL140" i="22"/>
  <c r="DK140" i="22"/>
  <c r="DJ140" i="22"/>
  <c r="DH140" i="22"/>
  <c r="DG140" i="22"/>
  <c r="DF140" i="22"/>
  <c r="DI138" i="22"/>
  <c r="DE138" i="22"/>
  <c r="DI137" i="22"/>
  <c r="DE137" i="22"/>
  <c r="DI136" i="22"/>
  <c r="DE136" i="22"/>
  <c r="DI135" i="22"/>
  <c r="DE135" i="22"/>
  <c r="DI134" i="22"/>
  <c r="DE134" i="22"/>
  <c r="DI133" i="22"/>
  <c r="DE133" i="22"/>
  <c r="DI132" i="22"/>
  <c r="DE132" i="22"/>
  <c r="DI131" i="22"/>
  <c r="DE131" i="22"/>
  <c r="DI130" i="22"/>
  <c r="DE130" i="22"/>
  <c r="DI129" i="22"/>
  <c r="DE129" i="22"/>
  <c r="DQ128" i="22"/>
  <c r="DM128" i="22"/>
  <c r="DI128" i="22"/>
  <c r="DE128" i="22"/>
  <c r="DL126" i="22"/>
  <c r="DK126" i="22"/>
  <c r="DJ126" i="22"/>
  <c r="DI126" i="22" s="1"/>
  <c r="DH126" i="22"/>
  <c r="DG126" i="22"/>
  <c r="DF126" i="22"/>
  <c r="DI124" i="22"/>
  <c r="DE124" i="22"/>
  <c r="DI123" i="22"/>
  <c r="DE123" i="22"/>
  <c r="DI122" i="22"/>
  <c r="DE122" i="22"/>
  <c r="DL120" i="22"/>
  <c r="DK120" i="22"/>
  <c r="DJ120" i="22"/>
  <c r="DH120" i="22"/>
  <c r="DG120" i="22"/>
  <c r="DF120" i="22"/>
  <c r="DI118" i="22"/>
  <c r="DI117" i="22"/>
  <c r="DE117" i="22"/>
  <c r="DI116" i="22"/>
  <c r="DE116" i="22"/>
  <c r="DE115" i="22"/>
  <c r="DE114" i="22"/>
  <c r="DI113" i="22"/>
  <c r="DI112" i="22"/>
  <c r="DG194" i="22"/>
  <c r="DF110" i="22"/>
  <c r="DE112" i="22"/>
  <c r="DL110" i="22"/>
  <c r="DK110" i="22"/>
  <c r="DJ110" i="22"/>
  <c r="DQ109" i="22"/>
  <c r="DM109" i="22"/>
  <c r="DI109" i="22"/>
  <c r="DE109" i="22"/>
  <c r="DI108" i="22"/>
  <c r="DE108" i="22"/>
  <c r="DI107" i="22"/>
  <c r="DE107" i="22"/>
  <c r="DI106" i="22"/>
  <c r="DE106" i="22"/>
  <c r="DL104" i="22"/>
  <c r="DI104" i="22" s="1"/>
  <c r="DK104" i="22"/>
  <c r="DJ104" i="22"/>
  <c r="DH104" i="22"/>
  <c r="DG104" i="22"/>
  <c r="DF104" i="22"/>
  <c r="DE103" i="22"/>
  <c r="DI102" i="22"/>
  <c r="DE102" i="22"/>
  <c r="DI101" i="22"/>
  <c r="DE101" i="22"/>
  <c r="DI100" i="22"/>
  <c r="DE100" i="22"/>
  <c r="DI99" i="22"/>
  <c r="DE99" i="22"/>
  <c r="DL97" i="22"/>
  <c r="DK97" i="22"/>
  <c r="DJ97" i="22"/>
  <c r="DH97" i="22"/>
  <c r="DG97" i="22"/>
  <c r="DF97" i="22"/>
  <c r="DI96" i="22"/>
  <c r="DE96" i="22"/>
  <c r="DI95" i="22"/>
  <c r="DE95" i="22"/>
  <c r="DI94" i="22"/>
  <c r="DE94" i="22"/>
  <c r="DI93" i="22"/>
  <c r="DE93" i="22"/>
  <c r="DI92" i="22"/>
  <c r="DE92" i="22"/>
  <c r="DL90" i="22"/>
  <c r="DK90" i="22"/>
  <c r="DJ90" i="22"/>
  <c r="DH90" i="22"/>
  <c r="DG90" i="22"/>
  <c r="DF90" i="22"/>
  <c r="DI89" i="22"/>
  <c r="DE89" i="22"/>
  <c r="DI88" i="22"/>
  <c r="DE88" i="22"/>
  <c r="DI87" i="22"/>
  <c r="DE87" i="22"/>
  <c r="DI86" i="22"/>
  <c r="DE86" i="22"/>
  <c r="DL84" i="22"/>
  <c r="DK84" i="22"/>
  <c r="DJ84" i="22"/>
  <c r="DI84" i="22" s="1"/>
  <c r="DH84" i="22"/>
  <c r="DG84" i="22"/>
  <c r="DF84" i="22"/>
  <c r="DE83" i="22"/>
  <c r="DI82" i="22"/>
  <c r="DE82" i="22"/>
  <c r="DI81" i="22"/>
  <c r="DE81" i="22"/>
  <c r="DI80" i="22"/>
  <c r="DE80" i="22"/>
  <c r="DI79" i="22"/>
  <c r="DE79" i="22"/>
  <c r="DL77" i="22"/>
  <c r="DK77" i="22"/>
  <c r="DJ77" i="22"/>
  <c r="DH77" i="22"/>
  <c r="DG77" i="22"/>
  <c r="DF77" i="22"/>
  <c r="DI76" i="22"/>
  <c r="DE76" i="22"/>
  <c r="DI75" i="22"/>
  <c r="DE75" i="22"/>
  <c r="DI74" i="22"/>
  <c r="DE74" i="22"/>
  <c r="DI73" i="22"/>
  <c r="DE73" i="22"/>
  <c r="DI72" i="22"/>
  <c r="DE72" i="22"/>
  <c r="DL70" i="22"/>
  <c r="DK70" i="22"/>
  <c r="DJ70" i="22"/>
  <c r="DH70" i="22"/>
  <c r="DG70" i="22"/>
  <c r="DF70" i="22"/>
  <c r="DE69" i="22"/>
  <c r="DI68" i="22"/>
  <c r="DE68" i="22"/>
  <c r="DI67" i="22"/>
  <c r="DE67" i="22"/>
  <c r="DI66" i="22"/>
  <c r="DE66" i="22"/>
  <c r="DL64" i="22"/>
  <c r="DK64" i="22"/>
  <c r="DJ64" i="22"/>
  <c r="DH64" i="22"/>
  <c r="DG64" i="22"/>
  <c r="DF64" i="22"/>
  <c r="DE63" i="22"/>
  <c r="DI62" i="22"/>
  <c r="DE62" i="22"/>
  <c r="DI61" i="22"/>
  <c r="DE61" i="22"/>
  <c r="DI60" i="22"/>
  <c r="DE60" i="22"/>
  <c r="DI59" i="22"/>
  <c r="DE59" i="22"/>
  <c r="DL57" i="22"/>
  <c r="DI57" i="22" s="1"/>
  <c r="DK57" i="22"/>
  <c r="DJ57" i="22"/>
  <c r="DH57" i="22"/>
  <c r="DE57" i="22" s="1"/>
  <c r="DG57" i="22"/>
  <c r="DF57" i="22"/>
  <c r="DE56" i="22"/>
  <c r="DI55" i="22"/>
  <c r="DE55" i="22"/>
  <c r="DI54" i="22"/>
  <c r="DE54" i="22"/>
  <c r="DI53" i="22"/>
  <c r="DE53" i="22"/>
  <c r="DL51" i="22"/>
  <c r="DK51" i="22"/>
  <c r="DJ51" i="22"/>
  <c r="DH51" i="22"/>
  <c r="DG51" i="22"/>
  <c r="DF51" i="22"/>
  <c r="DE49" i="22"/>
  <c r="DI48" i="22"/>
  <c r="DE48" i="22"/>
  <c r="DI47" i="22"/>
  <c r="DE47" i="22"/>
  <c r="DI46" i="22"/>
  <c r="DE46" i="22"/>
  <c r="DL44" i="22"/>
  <c r="DK44" i="22"/>
  <c r="DJ44" i="22"/>
  <c r="DH44" i="22"/>
  <c r="DG44" i="22"/>
  <c r="DF44" i="22"/>
  <c r="DQ43" i="22"/>
  <c r="DI43" i="22"/>
  <c r="DE43" i="22"/>
  <c r="DI42" i="22"/>
  <c r="DE42" i="22"/>
  <c r="DI41" i="22"/>
  <c r="DE41" i="22"/>
  <c r="DI40" i="22"/>
  <c r="DE40" i="22"/>
  <c r="DL38" i="22"/>
  <c r="DK38" i="22"/>
  <c r="DJ38" i="22"/>
  <c r="DH38" i="22"/>
  <c r="DG38" i="22"/>
  <c r="DF38" i="22"/>
  <c r="DQ37" i="22"/>
  <c r="DM37" i="22"/>
  <c r="DI37" i="22"/>
  <c r="DE37" i="22"/>
  <c r="DI36" i="22"/>
  <c r="DE36" i="22"/>
  <c r="DI35" i="22"/>
  <c r="DE35" i="22"/>
  <c r="DI33" i="22"/>
  <c r="DE33" i="22"/>
  <c r="DI31" i="22"/>
  <c r="DH202" i="22"/>
  <c r="DI28" i="22"/>
  <c r="DH201" i="22"/>
  <c r="DI27" i="22"/>
  <c r="DE27" i="22"/>
  <c r="DI26" i="22"/>
  <c r="DE26" i="22"/>
  <c r="DI25" i="22"/>
  <c r="DI24" i="22"/>
  <c r="DE24" i="22"/>
  <c r="DI23" i="22"/>
  <c r="DE23" i="22"/>
  <c r="DI22" i="22"/>
  <c r="DE22" i="22"/>
  <c r="DI21" i="22"/>
  <c r="DE21" i="22"/>
  <c r="DI20" i="22"/>
  <c r="DE20" i="22"/>
  <c r="DI19" i="22"/>
  <c r="DE19" i="22"/>
  <c r="DI18" i="22"/>
  <c r="DE18" i="22"/>
  <c r="DI17" i="22"/>
  <c r="DE17" i="22"/>
  <c r="DI16" i="22"/>
  <c r="DE16" i="22"/>
  <c r="DL14" i="22"/>
  <c r="DK14" i="22"/>
  <c r="DJ14" i="22"/>
  <c r="DH14" i="22"/>
  <c r="DG14" i="22"/>
  <c r="DI13" i="22"/>
  <c r="DE13" i="22"/>
  <c r="DL11" i="22"/>
  <c r="DK11" i="22"/>
  <c r="DI11" i="22"/>
  <c r="DH11" i="22"/>
  <c r="DG11" i="22"/>
  <c r="DF11" i="22"/>
  <c r="DI197" i="22" l="1"/>
  <c r="DI189" i="22"/>
  <c r="DI44" i="22"/>
  <c r="DI70" i="22"/>
  <c r="DI77" i="22"/>
  <c r="DI64" i="22"/>
  <c r="DE126" i="22"/>
  <c r="DE151" i="22"/>
  <c r="DE11" i="22"/>
  <c r="DI177" i="22"/>
  <c r="DE70" i="22"/>
  <c r="DI90" i="22"/>
  <c r="DI97" i="22"/>
  <c r="DI110" i="22"/>
  <c r="DI120" i="22"/>
  <c r="DE177" i="22"/>
  <c r="DE199" i="22"/>
  <c r="DI191" i="22"/>
  <c r="DE51" i="22"/>
  <c r="DI140" i="22"/>
  <c r="DE184" i="22"/>
  <c r="DE77" i="22"/>
  <c r="DE90" i="22"/>
  <c r="DE140" i="22"/>
  <c r="DI151" i="22"/>
  <c r="DI190" i="22"/>
  <c r="DI193" i="22"/>
  <c r="DI196" i="22"/>
  <c r="DI199" i="22"/>
  <c r="DE97" i="22"/>
  <c r="DK203" i="22"/>
  <c r="DE191" i="22"/>
  <c r="DE193" i="22"/>
  <c r="DE104" i="22"/>
  <c r="DE170" i="22"/>
  <c r="DE196" i="22"/>
  <c r="DE120" i="22"/>
  <c r="DJ203" i="22"/>
  <c r="DI198" i="22"/>
  <c r="DI200" i="22"/>
  <c r="DI14" i="22"/>
  <c r="DI201" i="22"/>
  <c r="DI202" i="22"/>
  <c r="DE195" i="22"/>
  <c r="DE197" i="22"/>
  <c r="DE200" i="22"/>
  <c r="DF198" i="22"/>
  <c r="DE25" i="22"/>
  <c r="DF201" i="22"/>
  <c r="DE201" i="22" s="1"/>
  <c r="DE28" i="22"/>
  <c r="DE38" i="22"/>
  <c r="DI51" i="22"/>
  <c r="DI194" i="22"/>
  <c r="DL203" i="22"/>
  <c r="DH198" i="22"/>
  <c r="DF202" i="22"/>
  <c r="DE202" i="22" s="1"/>
  <c r="DE31" i="22"/>
  <c r="DF189" i="22"/>
  <c r="DF14" i="22"/>
  <c r="DE14" i="22" s="1"/>
  <c r="DI38" i="22"/>
  <c r="DE44" i="22"/>
  <c r="DE64" i="22"/>
  <c r="DE84" i="22"/>
  <c r="DF190" i="22"/>
  <c r="DE190" i="22" s="1"/>
  <c r="DE113" i="22"/>
  <c r="DG201" i="22"/>
  <c r="DG110" i="22"/>
  <c r="DG180" i="22" s="1"/>
  <c r="DG187" i="22" s="1"/>
  <c r="DG189" i="22"/>
  <c r="DH189" i="22"/>
  <c r="DE118" i="22"/>
  <c r="DH110" i="22"/>
  <c r="DE110" i="22" s="1"/>
  <c r="DK180" i="22"/>
  <c r="DK187" i="22" s="1"/>
  <c r="DF194" i="22"/>
  <c r="DE194" i="22" s="1"/>
  <c r="DL180" i="22"/>
  <c r="DL187" i="22" s="1"/>
  <c r="DE156" i="22"/>
  <c r="DE162" i="22"/>
  <c r="DJ180" i="22"/>
  <c r="DI156" i="22"/>
  <c r="DI162" i="22"/>
  <c r="DG203" i="22"/>
  <c r="DF180" i="22" l="1"/>
  <c r="DF187" i="22" s="1"/>
  <c r="DE198" i="22"/>
  <c r="DE203" i="22" s="1"/>
  <c r="DI203" i="22"/>
  <c r="DH203" i="22"/>
  <c r="DE189" i="22"/>
  <c r="DF203" i="22"/>
  <c r="DH180" i="22"/>
  <c r="DH187" i="22" s="1"/>
  <c r="DI180" i="22"/>
  <c r="DI187" i="22" s="1"/>
  <c r="DJ187" i="22"/>
  <c r="CR184" i="22"/>
  <c r="DE180" i="22" l="1"/>
  <c r="DE187" i="22" s="1"/>
  <c r="CR28" i="22"/>
  <c r="CR25" i="22"/>
  <c r="CP25" i="22"/>
  <c r="CQ117" i="22" l="1"/>
  <c r="CP117" i="22"/>
  <c r="CR118" i="22"/>
  <c r="CP113" i="22"/>
  <c r="CP31" i="22"/>
  <c r="CP202" i="22" l="1"/>
  <c r="CP190" i="22"/>
  <c r="CQ190" i="22"/>
  <c r="CR190" i="22"/>
  <c r="CX103" i="22"/>
  <c r="CY103" i="22"/>
  <c r="DO103" i="22" s="1"/>
  <c r="EE103" i="22" s="1"/>
  <c r="CZ103" i="22"/>
  <c r="DP103" i="22" s="1"/>
  <c r="CQ97" i="22"/>
  <c r="CP97" i="22"/>
  <c r="CR97" i="22"/>
  <c r="CO101" i="22"/>
  <c r="CO102" i="22"/>
  <c r="CO103" i="22"/>
  <c r="CO97" i="22" l="1"/>
  <c r="CW103" i="22"/>
  <c r="DN103" i="22"/>
  <c r="ED103" i="22" s="1"/>
  <c r="EF103" i="22"/>
  <c r="CR31" i="22"/>
  <c r="CR202" i="22" s="1"/>
  <c r="DM103" i="22" l="1"/>
  <c r="EC103" i="22"/>
  <c r="EL103" i="22" s="1"/>
  <c r="CP28" i="22"/>
  <c r="CQ112" i="22" l="1"/>
  <c r="CP112" i="22"/>
  <c r="CO112" i="22" s="1"/>
  <c r="CV202" i="22" l="1"/>
  <c r="CU202" i="22"/>
  <c r="CT202" i="22"/>
  <c r="CQ202" i="22"/>
  <c r="CV201" i="22"/>
  <c r="CU201" i="22"/>
  <c r="CT201" i="22"/>
  <c r="CR201" i="22"/>
  <c r="CQ201" i="22"/>
  <c r="CP201" i="22"/>
  <c r="CV200" i="22"/>
  <c r="CU200" i="22"/>
  <c r="CT200" i="22"/>
  <c r="CR200" i="22"/>
  <c r="CQ200" i="22"/>
  <c r="CP200" i="22"/>
  <c r="CV199" i="22"/>
  <c r="CU199" i="22"/>
  <c r="CT199" i="22"/>
  <c r="CR199" i="22"/>
  <c r="CQ199" i="22"/>
  <c r="CP199" i="22"/>
  <c r="CV198" i="22"/>
  <c r="CU198" i="22"/>
  <c r="CT198" i="22"/>
  <c r="CR198" i="22"/>
  <c r="CQ198" i="22"/>
  <c r="CP198" i="22"/>
  <c r="CV197" i="22"/>
  <c r="CU197" i="22"/>
  <c r="CT197" i="22"/>
  <c r="CS197" i="22" s="1"/>
  <c r="CR197" i="22"/>
  <c r="CQ197" i="22"/>
  <c r="CP197" i="22"/>
  <c r="CV196" i="22"/>
  <c r="CU196" i="22"/>
  <c r="CT196" i="22"/>
  <c r="CR196" i="22"/>
  <c r="CQ196" i="22"/>
  <c r="CP196" i="22"/>
  <c r="CV195" i="22"/>
  <c r="CU195" i="22"/>
  <c r="CT195" i="22"/>
  <c r="CR195" i="22"/>
  <c r="CQ195" i="22"/>
  <c r="CP195" i="22"/>
  <c r="CV194" i="22"/>
  <c r="CS194" i="22" s="1"/>
  <c r="CU194" i="22"/>
  <c r="CT194" i="22"/>
  <c r="CR194" i="22"/>
  <c r="CQ194" i="22"/>
  <c r="CP194" i="22"/>
  <c r="CV193" i="22"/>
  <c r="CU193" i="22"/>
  <c r="CT193" i="22"/>
  <c r="CS193" i="22" s="1"/>
  <c r="CR193" i="22"/>
  <c r="CO193" i="22" s="1"/>
  <c r="CP193" i="22"/>
  <c r="CV191" i="22"/>
  <c r="CU191" i="22"/>
  <c r="CT191" i="22"/>
  <c r="CR191" i="22"/>
  <c r="CQ191" i="22"/>
  <c r="CP191" i="22"/>
  <c r="CV190" i="22"/>
  <c r="CU190" i="22"/>
  <c r="CT190" i="22"/>
  <c r="CV189" i="22"/>
  <c r="CU189" i="22"/>
  <c r="CT189" i="22"/>
  <c r="CO186" i="22"/>
  <c r="CS184" i="22"/>
  <c r="CP184" i="22"/>
  <c r="CO184" i="22" s="1"/>
  <c r="CS183" i="22"/>
  <c r="CO183" i="22"/>
  <c r="DA182" i="22"/>
  <c r="CS182" i="22"/>
  <c r="CS179" i="22"/>
  <c r="CO179" i="22"/>
  <c r="CV177" i="22"/>
  <c r="CU177" i="22"/>
  <c r="CT177" i="22"/>
  <c r="CR177" i="22"/>
  <c r="CQ177" i="22"/>
  <c r="CP177" i="22"/>
  <c r="CS176" i="22"/>
  <c r="CO176" i="22"/>
  <c r="CS175" i="22"/>
  <c r="CO175" i="22"/>
  <c r="CS174" i="22"/>
  <c r="CO174" i="22"/>
  <c r="CS173" i="22"/>
  <c r="CO173" i="22"/>
  <c r="CV170" i="22"/>
  <c r="CU170" i="22"/>
  <c r="CT170" i="22"/>
  <c r="CR170" i="22"/>
  <c r="CQ170" i="22"/>
  <c r="CP170" i="22"/>
  <c r="CS169" i="22"/>
  <c r="CO169" i="22"/>
  <c r="CS168" i="22"/>
  <c r="CO168" i="22"/>
  <c r="CS167" i="22"/>
  <c r="CO167" i="22"/>
  <c r="CS166" i="22"/>
  <c r="CO166" i="22"/>
  <c r="CS165" i="22"/>
  <c r="CO165" i="22"/>
  <c r="CO164" i="22"/>
  <c r="CV162" i="22"/>
  <c r="CU162" i="22"/>
  <c r="CT162" i="22"/>
  <c r="CR162" i="22"/>
  <c r="CQ162" i="22"/>
  <c r="CP162" i="22"/>
  <c r="CO162" i="22" s="1"/>
  <c r="CS161" i="22"/>
  <c r="CO161" i="22"/>
  <c r="CS160" i="22"/>
  <c r="CO160" i="22"/>
  <c r="CS159" i="22"/>
  <c r="CO159" i="22"/>
  <c r="CS158" i="22"/>
  <c r="CO158" i="22"/>
  <c r="CV156" i="22"/>
  <c r="CU156" i="22"/>
  <c r="CT156" i="22"/>
  <c r="CS156" i="22" s="1"/>
  <c r="CR156" i="22"/>
  <c r="CQ156" i="22"/>
  <c r="CP156" i="22"/>
  <c r="CS155" i="22"/>
  <c r="CO155" i="22"/>
  <c r="CS154" i="22"/>
  <c r="CO154" i="22"/>
  <c r="CS153" i="22"/>
  <c r="CO153" i="22"/>
  <c r="CV151" i="22"/>
  <c r="CU151" i="22"/>
  <c r="CT151" i="22"/>
  <c r="CR151" i="22"/>
  <c r="CQ151" i="22"/>
  <c r="CP151" i="22"/>
  <c r="CS149" i="22"/>
  <c r="CO149" i="22"/>
  <c r="CS148" i="22"/>
  <c r="CO148" i="22"/>
  <c r="CO147" i="22"/>
  <c r="CO146" i="22"/>
  <c r="CO145" i="22"/>
  <c r="CS144" i="22"/>
  <c r="CO144" i="22"/>
  <c r="CS143" i="22"/>
  <c r="CO143" i="22"/>
  <c r="CO142" i="22"/>
  <c r="CV140" i="22"/>
  <c r="CU140" i="22"/>
  <c r="CT140" i="22"/>
  <c r="CR140" i="22"/>
  <c r="CQ140" i="22"/>
  <c r="CP140" i="22"/>
  <c r="CS138" i="22"/>
  <c r="CO138" i="22"/>
  <c r="CS137" i="22"/>
  <c r="CO137" i="22"/>
  <c r="CS136" i="22"/>
  <c r="CO136" i="22"/>
  <c r="CS135" i="22"/>
  <c r="CO135" i="22"/>
  <c r="CS134" i="22"/>
  <c r="CO134" i="22"/>
  <c r="CS133" i="22"/>
  <c r="CO133" i="22"/>
  <c r="CS132" i="22"/>
  <c r="CO132" i="22"/>
  <c r="CS131" i="22"/>
  <c r="CO131" i="22"/>
  <c r="CS130" i="22"/>
  <c r="CO130" i="22"/>
  <c r="CS129" i="22"/>
  <c r="CO129" i="22"/>
  <c r="DA128" i="22"/>
  <c r="CW128" i="22"/>
  <c r="CS128" i="22"/>
  <c r="CO128" i="22"/>
  <c r="CV126" i="22"/>
  <c r="CU126" i="22"/>
  <c r="CT126" i="22"/>
  <c r="CR126" i="22"/>
  <c r="CQ126" i="22"/>
  <c r="CP126" i="22"/>
  <c r="CS124" i="22"/>
  <c r="CO124" i="22"/>
  <c r="CS123" i="22"/>
  <c r="CO123" i="22"/>
  <c r="CS122" i="22"/>
  <c r="CO122" i="22"/>
  <c r="CV120" i="22"/>
  <c r="CU120" i="22"/>
  <c r="CT120" i="22"/>
  <c r="CR120" i="22"/>
  <c r="CQ120" i="22"/>
  <c r="CP120" i="22"/>
  <c r="CO120" i="22" s="1"/>
  <c r="CS118" i="22"/>
  <c r="CO118" i="22"/>
  <c r="CS117" i="22"/>
  <c r="CO117" i="22"/>
  <c r="CS116" i="22"/>
  <c r="CO116" i="22"/>
  <c r="CO115" i="22"/>
  <c r="CO114" i="22"/>
  <c r="CS113" i="22"/>
  <c r="CO113" i="22"/>
  <c r="CS112" i="22"/>
  <c r="CV110" i="22"/>
  <c r="CU110" i="22"/>
  <c r="CT110" i="22"/>
  <c r="CR110" i="22"/>
  <c r="CQ110" i="22"/>
  <c r="CP110" i="22"/>
  <c r="DA109" i="22"/>
  <c r="CW109" i="22"/>
  <c r="CS109" i="22"/>
  <c r="CO109" i="22"/>
  <c r="CS108" i="22"/>
  <c r="CO108" i="22"/>
  <c r="CS107" i="22"/>
  <c r="CO107" i="22"/>
  <c r="CS106" i="22"/>
  <c r="CO106" i="22"/>
  <c r="CV104" i="22"/>
  <c r="CU104" i="22"/>
  <c r="CT104" i="22"/>
  <c r="CR104" i="22"/>
  <c r="CQ104" i="22"/>
  <c r="CP104" i="22"/>
  <c r="CS102" i="22"/>
  <c r="CS101" i="22"/>
  <c r="CS100" i="22"/>
  <c r="CO100" i="22"/>
  <c r="CS99" i="22"/>
  <c r="CO99" i="22"/>
  <c r="CV97" i="22"/>
  <c r="CU97" i="22"/>
  <c r="CT97" i="22"/>
  <c r="CS96" i="22"/>
  <c r="CO96" i="22"/>
  <c r="CS95" i="22"/>
  <c r="CO95" i="22"/>
  <c r="CS94" i="22"/>
  <c r="CO94" i="22"/>
  <c r="CS93" i="22"/>
  <c r="CO93" i="22"/>
  <c r="CS92" i="22"/>
  <c r="CO92" i="22"/>
  <c r="CV90" i="22"/>
  <c r="CU90" i="22"/>
  <c r="CT90" i="22"/>
  <c r="CR90" i="22"/>
  <c r="CQ90" i="22"/>
  <c r="CP90" i="22"/>
  <c r="CS89" i="22"/>
  <c r="CO89" i="22"/>
  <c r="CS88" i="22"/>
  <c r="CO88" i="22"/>
  <c r="CS87" i="22"/>
  <c r="CO87" i="22"/>
  <c r="CS86" i="22"/>
  <c r="CO86" i="22"/>
  <c r="CV84" i="22"/>
  <c r="CU84" i="22"/>
  <c r="CT84" i="22"/>
  <c r="CR84" i="22"/>
  <c r="CQ84" i="22"/>
  <c r="CP84" i="22"/>
  <c r="CO83" i="22"/>
  <c r="CS82" i="22"/>
  <c r="CO82" i="22"/>
  <c r="CS81" i="22"/>
  <c r="CO81" i="22"/>
  <c r="CS80" i="22"/>
  <c r="CO80" i="22"/>
  <c r="CS79" i="22"/>
  <c r="CO79" i="22"/>
  <c r="CV77" i="22"/>
  <c r="CU77" i="22"/>
  <c r="CT77" i="22"/>
  <c r="CR77" i="22"/>
  <c r="CQ77" i="22"/>
  <c r="CP77" i="22"/>
  <c r="CS76" i="22"/>
  <c r="CO76" i="22"/>
  <c r="CS75" i="22"/>
  <c r="CO75" i="22"/>
  <c r="CS74" i="22"/>
  <c r="CO74" i="22"/>
  <c r="CS73" i="22"/>
  <c r="CO73" i="22"/>
  <c r="CS72" i="22"/>
  <c r="CO72" i="22"/>
  <c r="CV70" i="22"/>
  <c r="CU70" i="22"/>
  <c r="CT70" i="22"/>
  <c r="CR70" i="22"/>
  <c r="CQ70" i="22"/>
  <c r="CP70" i="22"/>
  <c r="CO69" i="22"/>
  <c r="CS68" i="22"/>
  <c r="CO68" i="22"/>
  <c r="CS67" i="22"/>
  <c r="CO67" i="22"/>
  <c r="CS66" i="22"/>
  <c r="CO66" i="22"/>
  <c r="CV64" i="22"/>
  <c r="CU64" i="22"/>
  <c r="CT64" i="22"/>
  <c r="CR64" i="22"/>
  <c r="CQ64" i="22"/>
  <c r="CP64" i="22"/>
  <c r="CO63" i="22"/>
  <c r="CS62" i="22"/>
  <c r="CO62" i="22"/>
  <c r="CS61" i="22"/>
  <c r="CO61" i="22"/>
  <c r="CS60" i="22"/>
  <c r="CO60" i="22"/>
  <c r="CS59" i="22"/>
  <c r="CO59" i="22"/>
  <c r="CV57" i="22"/>
  <c r="CU57" i="22"/>
  <c r="CT57" i="22"/>
  <c r="CR57" i="22"/>
  <c r="CQ57" i="22"/>
  <c r="CP57" i="22"/>
  <c r="CO56" i="22"/>
  <c r="CS55" i="22"/>
  <c r="CO55" i="22"/>
  <c r="CS54" i="22"/>
  <c r="CO54" i="22"/>
  <c r="CS53" i="22"/>
  <c r="CO53" i="22"/>
  <c r="CV51" i="22"/>
  <c r="CU51" i="22"/>
  <c r="CT51" i="22"/>
  <c r="CR51" i="22"/>
  <c r="CQ51" i="22"/>
  <c r="CP51" i="22"/>
  <c r="CO49" i="22"/>
  <c r="CS48" i="22"/>
  <c r="CO48" i="22"/>
  <c r="CS47" i="22"/>
  <c r="CO47" i="22"/>
  <c r="CS46" i="22"/>
  <c r="CO46" i="22"/>
  <c r="CV44" i="22"/>
  <c r="CU44" i="22"/>
  <c r="CT44" i="22"/>
  <c r="CR44" i="22"/>
  <c r="CQ44" i="22"/>
  <c r="CP44" i="22"/>
  <c r="DA43" i="22"/>
  <c r="CS43" i="22"/>
  <c r="CO43" i="22"/>
  <c r="CS42" i="22"/>
  <c r="CO42" i="22"/>
  <c r="CS41" i="22"/>
  <c r="CO41" i="22"/>
  <c r="CS40" i="22"/>
  <c r="CO40" i="22"/>
  <c r="CV38" i="22"/>
  <c r="CU38" i="22"/>
  <c r="CT38" i="22"/>
  <c r="CR38" i="22"/>
  <c r="CQ38" i="22"/>
  <c r="CP38" i="22"/>
  <c r="DA37" i="22"/>
  <c r="CW37" i="22"/>
  <c r="CS37" i="22"/>
  <c r="CO37" i="22"/>
  <c r="CS36" i="22"/>
  <c r="CO36" i="22"/>
  <c r="CS35" i="22"/>
  <c r="CO35" i="22"/>
  <c r="CS33" i="22"/>
  <c r="CO33" i="22"/>
  <c r="CS31" i="22"/>
  <c r="CO31" i="22"/>
  <c r="CS28" i="22"/>
  <c r="CO28" i="22"/>
  <c r="CS27" i="22"/>
  <c r="CO27" i="22"/>
  <c r="CS26" i="22"/>
  <c r="CO26" i="22"/>
  <c r="CS25" i="22"/>
  <c r="CO25" i="22"/>
  <c r="CS24" i="22"/>
  <c r="CO24" i="22"/>
  <c r="CS23" i="22"/>
  <c r="CO23" i="22"/>
  <c r="CS22" i="22"/>
  <c r="CO22" i="22"/>
  <c r="CS21" i="22"/>
  <c r="CO21" i="22"/>
  <c r="CS20" i="22"/>
  <c r="CO20" i="22"/>
  <c r="CS19" i="22"/>
  <c r="CO19" i="22"/>
  <c r="CS18" i="22"/>
  <c r="CO18" i="22"/>
  <c r="CS17" i="22"/>
  <c r="CO17" i="22"/>
  <c r="CS16" i="22"/>
  <c r="CO16" i="22"/>
  <c r="CV14" i="22"/>
  <c r="CU14" i="22"/>
  <c r="CT14" i="22"/>
  <c r="CQ14" i="22"/>
  <c r="CP14" i="22"/>
  <c r="CS13" i="22"/>
  <c r="CO13" i="22"/>
  <c r="CV11" i="22"/>
  <c r="CS11" i="22" s="1"/>
  <c r="CU11" i="22"/>
  <c r="CR11" i="22"/>
  <c r="CQ11" i="22"/>
  <c r="CP11" i="22"/>
  <c r="CS196" i="22" l="1"/>
  <c r="CS191" i="22"/>
  <c r="CO156" i="22"/>
  <c r="CO38" i="22"/>
  <c r="CS38" i="22"/>
  <c r="CO195" i="22"/>
  <c r="CS120" i="22"/>
  <c r="CS162" i="22"/>
  <c r="CO57" i="22"/>
  <c r="CO77" i="22"/>
  <c r="CS90" i="22"/>
  <c r="CS140" i="22"/>
  <c r="CS151" i="22"/>
  <c r="CS70" i="22"/>
  <c r="CO90" i="22"/>
  <c r="CO140" i="22"/>
  <c r="CS170" i="22"/>
  <c r="CO191" i="22"/>
  <c r="CS190" i="22"/>
  <c r="CS51" i="22"/>
  <c r="CS64" i="22"/>
  <c r="CO70" i="22"/>
  <c r="CS84" i="22"/>
  <c r="CS126" i="22"/>
  <c r="CO170" i="22"/>
  <c r="CS200" i="22"/>
  <c r="CO11" i="22"/>
  <c r="CS44" i="22"/>
  <c r="CO51" i="22"/>
  <c r="CS57" i="22"/>
  <c r="CO64" i="22"/>
  <c r="CS77" i="22"/>
  <c r="CO84" i="22"/>
  <c r="CS97" i="22"/>
  <c r="CS104" i="22"/>
  <c r="CO151" i="22"/>
  <c r="CO197" i="22"/>
  <c r="CO199" i="22"/>
  <c r="CO201" i="22"/>
  <c r="CS195" i="22"/>
  <c r="CS199" i="22"/>
  <c r="CS198" i="22"/>
  <c r="CS110" i="22"/>
  <c r="CO190" i="22"/>
  <c r="CO196" i="22"/>
  <c r="CS202" i="22"/>
  <c r="CS189" i="22"/>
  <c r="CT203" i="22"/>
  <c r="CS201" i="22"/>
  <c r="CO110" i="22"/>
  <c r="CO104" i="22"/>
  <c r="CO194" i="22"/>
  <c r="CO198" i="22"/>
  <c r="CO200" i="22"/>
  <c r="CO126" i="22"/>
  <c r="CO44" i="22"/>
  <c r="CU203" i="22"/>
  <c r="CV203" i="22"/>
  <c r="CS14" i="22"/>
  <c r="CR189" i="22"/>
  <c r="CR14" i="22"/>
  <c r="CO14" i="22" s="1"/>
  <c r="CQ193" i="22"/>
  <c r="CQ203" i="22" s="1"/>
  <c r="CQ189" i="22"/>
  <c r="CP180" i="22"/>
  <c r="CP203" i="22"/>
  <c r="CP189" i="22"/>
  <c r="CU180" i="22"/>
  <c r="CU187" i="22" s="1"/>
  <c r="CR203" i="22"/>
  <c r="CQ180" i="22"/>
  <c r="CQ187" i="22" s="1"/>
  <c r="CV180" i="22"/>
  <c r="CV187" i="22" s="1"/>
  <c r="CS177" i="22"/>
  <c r="CT180" i="22"/>
  <c r="CO177" i="22"/>
  <c r="CS203" i="22" l="1"/>
  <c r="CR180" i="22"/>
  <c r="CR187" i="22" s="1"/>
  <c r="CO189" i="22"/>
  <c r="CS180" i="22"/>
  <c r="CS187" i="22" s="1"/>
  <c r="CT187" i="22"/>
  <c r="CP187" i="22"/>
  <c r="CO202" i="22"/>
  <c r="CO203" i="22" s="1"/>
  <c r="BZ31" i="22"/>
  <c r="CB31" i="22"/>
  <c r="CO180" i="22" l="1"/>
  <c r="CO187" i="22" s="1"/>
  <c r="CF202" i="22"/>
  <c r="CB202" i="22"/>
  <c r="CF189" i="22"/>
  <c r="CB189" i="22"/>
  <c r="CF151" i="22" l="1"/>
  <c r="CB151" i="22"/>
  <c r="BZ151" i="22"/>
  <c r="CH155" i="22"/>
  <c r="CX155" i="22" s="1"/>
  <c r="CI155" i="22"/>
  <c r="CY155" i="22" s="1"/>
  <c r="DO155" i="22" s="1"/>
  <c r="EE155" i="22" s="1"/>
  <c r="CJ155" i="22"/>
  <c r="CL155" i="22"/>
  <c r="DB155" i="22" s="1"/>
  <c r="CM155" i="22"/>
  <c r="DC155" i="22" s="1"/>
  <c r="DS155" i="22" s="1"/>
  <c r="EI155" i="22" s="1"/>
  <c r="CN155" i="22"/>
  <c r="CC155" i="22"/>
  <c r="BY155" i="22"/>
  <c r="BY151" i="22" l="1"/>
  <c r="CG155" i="22"/>
  <c r="CZ155" i="22"/>
  <c r="DP155" i="22" s="1"/>
  <c r="EF155" i="22" s="1"/>
  <c r="CK155" i="22"/>
  <c r="DD155" i="22"/>
  <c r="DT155" i="22" s="1"/>
  <c r="EJ155" i="22" s="1"/>
  <c r="DN155" i="22"/>
  <c r="DR155" i="22"/>
  <c r="DA155" i="22" l="1"/>
  <c r="DQ155" i="22"/>
  <c r="EH155" i="22"/>
  <c r="EG155" i="22" s="1"/>
  <c r="CW155" i="22"/>
  <c r="DM155" i="22"/>
  <c r="ED155" i="22"/>
  <c r="EC155" i="22" s="1"/>
  <c r="EL155" i="22" s="1"/>
  <c r="CA19" i="22"/>
  <c r="CA14" i="22" s="1"/>
  <c r="CE202" i="22"/>
  <c r="CA202" i="22"/>
  <c r="CF201" i="22"/>
  <c r="CE201" i="22"/>
  <c r="CD201" i="22"/>
  <c r="CB201" i="22"/>
  <c r="CA201" i="22"/>
  <c r="BZ201" i="22"/>
  <c r="CF200" i="22"/>
  <c r="CE200" i="22"/>
  <c r="CD200" i="22"/>
  <c r="CB200" i="22"/>
  <c r="CA200" i="22"/>
  <c r="BZ200" i="22"/>
  <c r="CF199" i="22"/>
  <c r="CE199" i="22"/>
  <c r="CD199" i="22"/>
  <c r="CB199" i="22"/>
  <c r="CA199" i="22"/>
  <c r="BZ199" i="22"/>
  <c r="CF198" i="22"/>
  <c r="CE198" i="22"/>
  <c r="CD198" i="22"/>
  <c r="CB198" i="22"/>
  <c r="CF197" i="22"/>
  <c r="CE197" i="22"/>
  <c r="CD197" i="22"/>
  <c r="CB197" i="22"/>
  <c r="CA197" i="22"/>
  <c r="BZ197" i="22"/>
  <c r="CF196" i="22"/>
  <c r="CE196" i="22"/>
  <c r="CD196" i="22"/>
  <c r="CB196" i="22"/>
  <c r="CA196" i="22"/>
  <c r="CF195" i="22"/>
  <c r="CE195" i="22"/>
  <c r="CD195" i="22"/>
  <c r="CB195" i="22"/>
  <c r="CA195" i="22"/>
  <c r="BZ195" i="22"/>
  <c r="CF194" i="22"/>
  <c r="CE194" i="22"/>
  <c r="CD194" i="22"/>
  <c r="CB194" i="22"/>
  <c r="CA194" i="22"/>
  <c r="BZ194" i="22"/>
  <c r="CF193" i="22"/>
  <c r="CE193" i="22"/>
  <c r="CD193" i="22"/>
  <c r="CB193" i="22"/>
  <c r="BZ193" i="22"/>
  <c r="CF191" i="22"/>
  <c r="CE191" i="22"/>
  <c r="CD191" i="22"/>
  <c r="CB191" i="22"/>
  <c r="CA191" i="22"/>
  <c r="BZ191" i="22"/>
  <c r="CF190" i="22"/>
  <c r="CE190" i="22"/>
  <c r="CD190" i="22"/>
  <c r="CB190" i="22"/>
  <c r="CA190" i="22"/>
  <c r="BZ190" i="22"/>
  <c r="CE189" i="22"/>
  <c r="BY186" i="22"/>
  <c r="CC184" i="22"/>
  <c r="CB184" i="22"/>
  <c r="BZ184" i="22"/>
  <c r="CC183" i="22"/>
  <c r="BY183" i="22"/>
  <c r="CK182" i="22"/>
  <c r="CC182" i="22"/>
  <c r="CC179" i="22"/>
  <c r="BY179" i="22"/>
  <c r="CF177" i="22"/>
  <c r="CE177" i="22"/>
  <c r="CD177" i="22"/>
  <c r="CB177" i="22"/>
  <c r="CA177" i="22"/>
  <c r="BZ177" i="22"/>
  <c r="BY177" i="22" s="1"/>
  <c r="CC176" i="22"/>
  <c r="BY176" i="22"/>
  <c r="CC175" i="22"/>
  <c r="BY175" i="22"/>
  <c r="CC174" i="22"/>
  <c r="BY174" i="22"/>
  <c r="CC173" i="22"/>
  <c r="BY173" i="22"/>
  <c r="CF170" i="22"/>
  <c r="CE170" i="22"/>
  <c r="CD170" i="22"/>
  <c r="CB170" i="22"/>
  <c r="CA170" i="22"/>
  <c r="BZ170" i="22"/>
  <c r="CC169" i="22"/>
  <c r="BY169" i="22"/>
  <c r="CC168" i="22"/>
  <c r="BY168" i="22"/>
  <c r="CC167" i="22"/>
  <c r="BY167" i="22"/>
  <c r="CC166" i="22"/>
  <c r="BY166" i="22"/>
  <c r="CC165" i="22"/>
  <c r="BY165" i="22"/>
  <c r="BY164" i="22"/>
  <c r="CF162" i="22"/>
  <c r="CE162" i="22"/>
  <c r="CD162" i="22"/>
  <c r="CC162" i="22" s="1"/>
  <c r="CB162" i="22"/>
  <c r="BZ162" i="22"/>
  <c r="CC161" i="22"/>
  <c r="BY161" i="22"/>
  <c r="CC160" i="22"/>
  <c r="BY160" i="22"/>
  <c r="CC159" i="22"/>
  <c r="BY159" i="22"/>
  <c r="CC158" i="22"/>
  <c r="BZ196" i="22"/>
  <c r="CF156" i="22"/>
  <c r="CE156" i="22"/>
  <c r="CD156" i="22"/>
  <c r="CB156" i="22"/>
  <c r="CA156" i="22"/>
  <c r="BZ156" i="22"/>
  <c r="CC154" i="22"/>
  <c r="BY154" i="22"/>
  <c r="CC153" i="22"/>
  <c r="BY153" i="22"/>
  <c r="CE151" i="22"/>
  <c r="CD151" i="22"/>
  <c r="CC151" i="22" s="1"/>
  <c r="CA151" i="22"/>
  <c r="CC149" i="22"/>
  <c r="BY149" i="22"/>
  <c r="CC148" i="22"/>
  <c r="BY148" i="22"/>
  <c r="BY147" i="22"/>
  <c r="BY146" i="22"/>
  <c r="BY145" i="22"/>
  <c r="CC144" i="22"/>
  <c r="BY144" i="22"/>
  <c r="CC143" i="22"/>
  <c r="BY143" i="22"/>
  <c r="BY142" i="22"/>
  <c r="CF140" i="22"/>
  <c r="CC140" i="22" s="1"/>
  <c r="CE140" i="22"/>
  <c r="CD140" i="22"/>
  <c r="CB140" i="22"/>
  <c r="CA140" i="22"/>
  <c r="BZ140" i="22"/>
  <c r="CC138" i="22"/>
  <c r="BY138" i="22"/>
  <c r="CC137" i="22"/>
  <c r="BY137" i="22"/>
  <c r="CC136" i="22"/>
  <c r="BY136" i="22"/>
  <c r="CC135" i="22"/>
  <c r="BY135" i="22"/>
  <c r="CC134" i="22"/>
  <c r="BY134" i="22"/>
  <c r="CC133" i="22"/>
  <c r="BY133" i="22"/>
  <c r="CC132" i="22"/>
  <c r="BY132" i="22"/>
  <c r="CC131" i="22"/>
  <c r="BY131" i="22"/>
  <c r="CC130" i="22"/>
  <c r="BY130" i="22"/>
  <c r="CC129" i="22"/>
  <c r="BY129" i="22"/>
  <c r="CK128" i="22"/>
  <c r="CG128" i="22"/>
  <c r="CC128" i="22"/>
  <c r="BY128" i="22"/>
  <c r="CF126" i="22"/>
  <c r="CE126" i="22"/>
  <c r="CD126" i="22"/>
  <c r="CC126" i="22" s="1"/>
  <c r="CB126" i="22"/>
  <c r="CA126" i="22"/>
  <c r="BZ126" i="22"/>
  <c r="CC124" i="22"/>
  <c r="BY124" i="22"/>
  <c r="CC123" i="22"/>
  <c r="BY123" i="22"/>
  <c r="CC122" i="22"/>
  <c r="BY122" i="22"/>
  <c r="CF120" i="22"/>
  <c r="CE120" i="22"/>
  <c r="CD120" i="22"/>
  <c r="CC120" i="22" s="1"/>
  <c r="CB120" i="22"/>
  <c r="CA120" i="22"/>
  <c r="BZ120" i="22"/>
  <c r="CC118" i="22"/>
  <c r="BY118" i="22"/>
  <c r="CC117" i="22"/>
  <c r="BY117" i="22"/>
  <c r="CC116" i="22"/>
  <c r="BY116" i="22"/>
  <c r="BY115" i="22"/>
  <c r="BY114" i="22"/>
  <c r="CC113" i="22"/>
  <c r="BY113" i="22"/>
  <c r="CC112" i="22"/>
  <c r="BY112" i="22"/>
  <c r="CF110" i="22"/>
  <c r="CE110" i="22"/>
  <c r="CD110" i="22"/>
  <c r="CB110" i="22"/>
  <c r="CA110" i="22"/>
  <c r="BZ110" i="22"/>
  <c r="CK109" i="22"/>
  <c r="CG109" i="22"/>
  <c r="CC109" i="22"/>
  <c r="BY109" i="22"/>
  <c r="CC108" i="22"/>
  <c r="BY108" i="22"/>
  <c r="CC107" i="22"/>
  <c r="BY107" i="22"/>
  <c r="CC106" i="22"/>
  <c r="BY106" i="22"/>
  <c r="CF104" i="22"/>
  <c r="CE104" i="22"/>
  <c r="CD104" i="22"/>
  <c r="CB104" i="22"/>
  <c r="CA104" i="22"/>
  <c r="BZ104" i="22"/>
  <c r="CC102" i="22"/>
  <c r="BY102" i="22"/>
  <c r="CC101" i="22"/>
  <c r="BY101" i="22"/>
  <c r="CC100" i="22"/>
  <c r="BY100" i="22"/>
  <c r="CC99" i="22"/>
  <c r="BY99" i="22"/>
  <c r="CF97" i="22"/>
  <c r="CE97" i="22"/>
  <c r="CD97" i="22"/>
  <c r="CC97" i="22" s="1"/>
  <c r="CB97" i="22"/>
  <c r="CA97" i="22"/>
  <c r="BZ97" i="22"/>
  <c r="BY97" i="22" s="1"/>
  <c r="CC96" i="22"/>
  <c r="BY96" i="22"/>
  <c r="CC95" i="22"/>
  <c r="BY95" i="22"/>
  <c r="CC94" i="22"/>
  <c r="BY94" i="22"/>
  <c r="CC93" i="22"/>
  <c r="BY93" i="22"/>
  <c r="CC92" i="22"/>
  <c r="BY92" i="22"/>
  <c r="CF90" i="22"/>
  <c r="CE90" i="22"/>
  <c r="CD90" i="22"/>
  <c r="CC90" i="22" s="1"/>
  <c r="CB90" i="22"/>
  <c r="CA90" i="22"/>
  <c r="BZ90" i="22"/>
  <c r="BY90" i="22" s="1"/>
  <c r="CC89" i="22"/>
  <c r="BY89" i="22"/>
  <c r="CC88" i="22"/>
  <c r="BY88" i="22"/>
  <c r="CC87" i="22"/>
  <c r="BY87" i="22"/>
  <c r="CC86" i="22"/>
  <c r="BY86" i="22"/>
  <c r="CF84" i="22"/>
  <c r="CE84" i="22"/>
  <c r="CD84" i="22"/>
  <c r="CB84" i="22"/>
  <c r="CA84" i="22"/>
  <c r="BZ84" i="22"/>
  <c r="BY84" i="22" s="1"/>
  <c r="BY83" i="22"/>
  <c r="CC82" i="22"/>
  <c r="BY82" i="22"/>
  <c r="CC81" i="22"/>
  <c r="BY81" i="22"/>
  <c r="CC80" i="22"/>
  <c r="BY80" i="22"/>
  <c r="CC79" i="22"/>
  <c r="BY79" i="22"/>
  <c r="CF77" i="22"/>
  <c r="CE77" i="22"/>
  <c r="CD77" i="22"/>
  <c r="CB77" i="22"/>
  <c r="CA77" i="22"/>
  <c r="BZ77" i="22"/>
  <c r="CC76" i="22"/>
  <c r="BY76" i="22"/>
  <c r="CC75" i="22"/>
  <c r="CC74" i="22"/>
  <c r="BY74" i="22"/>
  <c r="CC73" i="22"/>
  <c r="BY73" i="22"/>
  <c r="CC72" i="22"/>
  <c r="BY72" i="22"/>
  <c r="CF70" i="22"/>
  <c r="CE70" i="22"/>
  <c r="CD70" i="22"/>
  <c r="CB70" i="22"/>
  <c r="CA70" i="22"/>
  <c r="BZ70" i="22"/>
  <c r="BY69" i="22"/>
  <c r="CC68" i="22"/>
  <c r="BY68" i="22"/>
  <c r="CC67" i="22"/>
  <c r="BY67" i="22"/>
  <c r="CC66" i="22"/>
  <c r="BY66" i="22"/>
  <c r="CF64" i="22"/>
  <c r="CE64" i="22"/>
  <c r="CD64" i="22"/>
  <c r="CC64" i="22" s="1"/>
  <c r="CB64" i="22"/>
  <c r="CA64" i="22"/>
  <c r="BZ64" i="22"/>
  <c r="BY63" i="22"/>
  <c r="CC62" i="22"/>
  <c r="BY62" i="22"/>
  <c r="CC61" i="22"/>
  <c r="BY61" i="22"/>
  <c r="CC60" i="22"/>
  <c r="BY60" i="22"/>
  <c r="CC59" i="22"/>
  <c r="BY59" i="22"/>
  <c r="CF57" i="22"/>
  <c r="CE57" i="22"/>
  <c r="CD57" i="22"/>
  <c r="CB57" i="22"/>
  <c r="CA57" i="22"/>
  <c r="BZ57" i="22"/>
  <c r="BY56" i="22"/>
  <c r="CC55" i="22"/>
  <c r="BY55" i="22"/>
  <c r="CC54" i="22"/>
  <c r="BY54" i="22"/>
  <c r="CC53" i="22"/>
  <c r="BY53" i="22"/>
  <c r="CF51" i="22"/>
  <c r="CC51" i="22" s="1"/>
  <c r="CE51" i="22"/>
  <c r="CD51" i="22"/>
  <c r="CB51" i="22"/>
  <c r="CA51" i="22"/>
  <c r="BZ51" i="22"/>
  <c r="BY49" i="22"/>
  <c r="CC48" i="22"/>
  <c r="BY48" i="22"/>
  <c r="CC47" i="22"/>
  <c r="BY47" i="22"/>
  <c r="CC46" i="22"/>
  <c r="BY46" i="22"/>
  <c r="CF44" i="22"/>
  <c r="CE44" i="22"/>
  <c r="CD44" i="22"/>
  <c r="CB44" i="22"/>
  <c r="BY44" i="22" s="1"/>
  <c r="CA44" i="22"/>
  <c r="BZ44" i="22"/>
  <c r="CK43" i="22"/>
  <c r="CC43" i="22"/>
  <c r="BY43" i="22"/>
  <c r="CC42" i="22"/>
  <c r="BY42" i="22"/>
  <c r="CC41" i="22"/>
  <c r="BY41" i="22"/>
  <c r="CC40" i="22"/>
  <c r="BY40" i="22"/>
  <c r="CF38" i="22"/>
  <c r="CE38" i="22"/>
  <c r="CD38" i="22"/>
  <c r="CC38" i="22"/>
  <c r="CB38" i="22"/>
  <c r="BY38" i="22" s="1"/>
  <c r="CA38" i="22"/>
  <c r="BZ38" i="22"/>
  <c r="CK37" i="22"/>
  <c r="CG37" i="22"/>
  <c r="CC37" i="22"/>
  <c r="BY37" i="22"/>
  <c r="CC36" i="22"/>
  <c r="BY36" i="22"/>
  <c r="CC35" i="22"/>
  <c r="BY35" i="22"/>
  <c r="CC33" i="22"/>
  <c r="BY33" i="22"/>
  <c r="CC31" i="22"/>
  <c r="BZ202" i="22"/>
  <c r="CC28" i="22"/>
  <c r="BY28" i="22"/>
  <c r="CC27" i="22"/>
  <c r="BY27" i="22"/>
  <c r="CC26" i="22"/>
  <c r="BY26" i="22"/>
  <c r="CC25" i="22"/>
  <c r="BY25" i="22"/>
  <c r="CC24" i="22"/>
  <c r="BY24" i="22"/>
  <c r="CC23" i="22"/>
  <c r="BY23" i="22"/>
  <c r="CC22" i="22"/>
  <c r="BY22" i="22"/>
  <c r="CC21" i="22"/>
  <c r="BY21" i="22"/>
  <c r="CC20" i="22"/>
  <c r="BY20" i="22"/>
  <c r="CC19" i="22"/>
  <c r="CA193" i="22"/>
  <c r="BY19" i="22"/>
  <c r="CC18" i="22"/>
  <c r="BY18" i="22"/>
  <c r="CC17" i="22"/>
  <c r="CB17" i="22"/>
  <c r="CC16" i="22"/>
  <c r="BY16" i="22"/>
  <c r="CF14" i="22"/>
  <c r="CE14" i="22"/>
  <c r="CD14" i="22"/>
  <c r="CB14" i="22"/>
  <c r="BZ14" i="22"/>
  <c r="CC13" i="22"/>
  <c r="BY13" i="22"/>
  <c r="CF11" i="22"/>
  <c r="CC11" i="22" s="1"/>
  <c r="CE11" i="22"/>
  <c r="CB11" i="22"/>
  <c r="CA11" i="22"/>
  <c r="BZ11" i="22"/>
  <c r="BY120" i="22" l="1"/>
  <c r="CC191" i="22"/>
  <c r="BY140" i="22"/>
  <c r="BY64" i="22"/>
  <c r="CC194" i="22"/>
  <c r="BY57" i="22"/>
  <c r="CC77" i="22"/>
  <c r="BY104" i="22"/>
  <c r="CC57" i="22"/>
  <c r="CC84" i="22"/>
  <c r="CC104" i="22"/>
  <c r="BY11" i="22"/>
  <c r="BY184" i="22"/>
  <c r="CC70" i="22"/>
  <c r="BY77" i="22"/>
  <c r="BY170" i="22"/>
  <c r="BY162" i="22"/>
  <c r="BY191" i="22"/>
  <c r="CC44" i="22"/>
  <c r="BY70" i="22"/>
  <c r="CC156" i="22"/>
  <c r="CC170" i="22"/>
  <c r="CC177" i="22"/>
  <c r="CC190" i="22"/>
  <c r="BY195" i="22"/>
  <c r="CC196" i="22"/>
  <c r="CC199" i="22"/>
  <c r="CC201" i="22"/>
  <c r="CC200" i="22"/>
  <c r="CC195" i="22"/>
  <c r="BY200" i="22"/>
  <c r="BY126" i="22"/>
  <c r="BY110" i="22"/>
  <c r="CC110" i="22"/>
  <c r="CE203" i="22"/>
  <c r="BY194" i="22"/>
  <c r="CC197" i="22"/>
  <c r="BY197" i="22"/>
  <c r="CC198" i="22"/>
  <c r="BY14" i="22"/>
  <c r="BY156" i="22"/>
  <c r="BY190" i="22"/>
  <c r="BY51" i="22"/>
  <c r="BY199" i="22"/>
  <c r="BY201" i="22"/>
  <c r="CC14" i="22"/>
  <c r="BY17" i="22"/>
  <c r="BY31" i="22"/>
  <c r="CD202" i="22"/>
  <c r="CD189" i="22"/>
  <c r="CB180" i="22"/>
  <c r="CB187" i="22" s="1"/>
  <c r="CF180" i="22"/>
  <c r="CF187" i="22" s="1"/>
  <c r="CA198" i="22"/>
  <c r="CA203" i="22" s="1"/>
  <c r="CA189" i="22"/>
  <c r="CA162" i="22"/>
  <c r="CA180" i="22" s="1"/>
  <c r="CA187" i="22" s="1"/>
  <c r="CE180" i="22"/>
  <c r="CE187" i="22" s="1"/>
  <c r="BY75" i="22"/>
  <c r="BY158" i="22"/>
  <c r="BY202" i="22"/>
  <c r="CD203" i="22"/>
  <c r="BY196" i="22"/>
  <c r="BZ198" i="22"/>
  <c r="BY198" i="22" s="1"/>
  <c r="BZ189" i="22"/>
  <c r="BZ180" i="22"/>
  <c r="CD180" i="22"/>
  <c r="BY193" i="22"/>
  <c r="CC193" i="22"/>
  <c r="BJ31" i="22"/>
  <c r="BL31" i="22"/>
  <c r="BN31" i="22"/>
  <c r="BP31" i="22"/>
  <c r="CC202" i="22" l="1"/>
  <c r="CC203" i="22" s="1"/>
  <c r="CF203" i="22"/>
  <c r="CC189" i="22"/>
  <c r="BY189" i="22"/>
  <c r="BY203" i="22"/>
  <c r="CB203" i="22"/>
  <c r="BZ203" i="22"/>
  <c r="BY180" i="22"/>
  <c r="BY187" i="22" s="1"/>
  <c r="BZ187" i="22"/>
  <c r="CC180" i="22"/>
  <c r="CC187" i="22" s="1"/>
  <c r="CD187" i="22"/>
  <c r="BJ75" i="22" l="1"/>
  <c r="BL17" i="22" l="1"/>
  <c r="BJ17" i="22"/>
  <c r="BR69" i="22" l="1"/>
  <c r="BI69" i="22"/>
  <c r="BI56" i="22"/>
  <c r="BK165" i="22"/>
  <c r="BJ165" i="22"/>
  <c r="BQ69" i="22" l="1"/>
  <c r="CH69" i="22"/>
  <c r="BR145" i="22"/>
  <c r="BS145" i="22"/>
  <c r="CI145" i="22" s="1"/>
  <c r="CY145" i="22" s="1"/>
  <c r="DO145" i="22" s="1"/>
  <c r="EE145" i="22" s="1"/>
  <c r="BI145" i="22"/>
  <c r="BI146" i="22"/>
  <c r="BJ158" i="22"/>
  <c r="BJ196" i="22" s="1"/>
  <c r="BK17" i="22"/>
  <c r="BS17" i="22" s="1"/>
  <c r="CI17" i="22" s="1"/>
  <c r="CY17" i="22" s="1"/>
  <c r="DO17" i="22" s="1"/>
  <c r="EE17" i="22" s="1"/>
  <c r="BR17" i="22"/>
  <c r="CH17" i="22" s="1"/>
  <c r="BV17" i="22"/>
  <c r="CL17" i="22" s="1"/>
  <c r="BW17" i="22"/>
  <c r="CM17" i="22" s="1"/>
  <c r="DC17" i="22" s="1"/>
  <c r="DS17" i="22" s="1"/>
  <c r="EI17" i="22" s="1"/>
  <c r="BX17" i="22"/>
  <c r="BT17" i="22"/>
  <c r="CJ17" i="22" s="1"/>
  <c r="CZ17" i="22" s="1"/>
  <c r="DP17" i="22" s="1"/>
  <c r="BI17" i="22"/>
  <c r="BK19" i="22"/>
  <c r="BM17" i="22"/>
  <c r="AW16" i="22"/>
  <c r="AT31" i="22"/>
  <c r="AV31" i="22"/>
  <c r="AT40" i="22"/>
  <c r="AT60" i="22"/>
  <c r="AT66" i="22"/>
  <c r="AU92" i="22"/>
  <c r="AT123" i="22"/>
  <c r="BP202" i="22"/>
  <c r="BO202" i="22"/>
  <c r="BN202" i="22"/>
  <c r="BK202" i="22"/>
  <c r="BP201" i="22"/>
  <c r="BM201" i="22" s="1"/>
  <c r="BO201" i="22"/>
  <c r="BN201" i="22"/>
  <c r="BL201" i="22"/>
  <c r="BK201" i="22"/>
  <c r="BJ201" i="22"/>
  <c r="BP200" i="22"/>
  <c r="BO200" i="22"/>
  <c r="BN200" i="22"/>
  <c r="BL200" i="22"/>
  <c r="BK200" i="22"/>
  <c r="BJ200" i="22"/>
  <c r="BP199" i="22"/>
  <c r="BO199" i="22"/>
  <c r="BN199" i="22"/>
  <c r="BL199" i="22"/>
  <c r="BK199" i="22"/>
  <c r="BJ199" i="22"/>
  <c r="BP198" i="22"/>
  <c r="BO198" i="22"/>
  <c r="BN198" i="22"/>
  <c r="BL198" i="22"/>
  <c r="BK198" i="22"/>
  <c r="BJ198" i="22"/>
  <c r="BP197" i="22"/>
  <c r="BO197" i="22"/>
  <c r="BN197" i="22"/>
  <c r="BL197" i="22"/>
  <c r="BK197" i="22"/>
  <c r="BJ197" i="22"/>
  <c r="BP196" i="22"/>
  <c r="BO196" i="22"/>
  <c r="BN196" i="22"/>
  <c r="BL196" i="22"/>
  <c r="BK196" i="22"/>
  <c r="BP195" i="22"/>
  <c r="BO195" i="22"/>
  <c r="BN195" i="22"/>
  <c r="BL195" i="22"/>
  <c r="BK195" i="22"/>
  <c r="BJ195" i="22"/>
  <c r="BP194" i="22"/>
  <c r="BO194" i="22"/>
  <c r="BN194" i="22"/>
  <c r="BL194" i="22"/>
  <c r="BP193" i="22"/>
  <c r="BO193" i="22"/>
  <c r="BN193" i="22"/>
  <c r="BL193" i="22"/>
  <c r="BK193" i="22"/>
  <c r="BJ193" i="22"/>
  <c r="BP191" i="22"/>
  <c r="BO191" i="22"/>
  <c r="BN191" i="22"/>
  <c r="BL191" i="22"/>
  <c r="BK191" i="22"/>
  <c r="BJ191" i="22"/>
  <c r="BP190" i="22"/>
  <c r="BO190" i="22"/>
  <c r="BN190" i="22"/>
  <c r="BL190" i="22"/>
  <c r="BK190" i="22"/>
  <c r="BJ190" i="22"/>
  <c r="BP189" i="22"/>
  <c r="BO189" i="22"/>
  <c r="BN189" i="22"/>
  <c r="BI186" i="22"/>
  <c r="BM184" i="22"/>
  <c r="BL184" i="22"/>
  <c r="BJ184" i="22"/>
  <c r="BM183" i="22"/>
  <c r="BI183" i="22"/>
  <c r="BU182" i="22"/>
  <c r="BM182" i="22"/>
  <c r="BM179" i="22"/>
  <c r="BI179" i="22"/>
  <c r="BP177" i="22"/>
  <c r="BO177" i="22"/>
  <c r="BN177" i="22"/>
  <c r="BL177" i="22"/>
  <c r="BK177" i="22"/>
  <c r="BJ177" i="22"/>
  <c r="BI177" i="22" s="1"/>
  <c r="BM176" i="22"/>
  <c r="BI176" i="22"/>
  <c r="BM175" i="22"/>
  <c r="BI175" i="22"/>
  <c r="BM174" i="22"/>
  <c r="BI174" i="22"/>
  <c r="BM173" i="22"/>
  <c r="BI173" i="22"/>
  <c r="BP170" i="22"/>
  <c r="BO170" i="22"/>
  <c r="BN170" i="22"/>
  <c r="BL170" i="22"/>
  <c r="BK170" i="22"/>
  <c r="BJ170" i="22"/>
  <c r="BI170" i="22" s="1"/>
  <c r="BM169" i="22"/>
  <c r="BI169" i="22"/>
  <c r="BM168" i="22"/>
  <c r="BI168" i="22"/>
  <c r="BM167" i="22"/>
  <c r="BI167" i="22"/>
  <c r="BM166" i="22"/>
  <c r="BI166" i="22"/>
  <c r="BM165" i="22"/>
  <c r="BI165" i="22"/>
  <c r="BI164" i="22"/>
  <c r="BP162" i="22"/>
  <c r="BO162" i="22"/>
  <c r="BN162" i="22"/>
  <c r="BL162" i="22"/>
  <c r="BK162" i="22"/>
  <c r="BM161" i="22"/>
  <c r="BI161" i="22"/>
  <c r="BM160" i="22"/>
  <c r="BI160" i="22"/>
  <c r="BM159" i="22"/>
  <c r="BI159" i="22"/>
  <c r="BM158" i="22"/>
  <c r="BP156" i="22"/>
  <c r="BO156" i="22"/>
  <c r="BN156" i="22"/>
  <c r="BL156" i="22"/>
  <c r="BK156" i="22"/>
  <c r="BM154" i="22"/>
  <c r="BI154" i="22"/>
  <c r="BM153" i="22"/>
  <c r="BI153" i="22"/>
  <c r="BP151" i="22"/>
  <c r="BO151" i="22"/>
  <c r="BN151" i="22"/>
  <c r="BL151" i="22"/>
  <c r="BK151" i="22"/>
  <c r="BJ151" i="22"/>
  <c r="BI151" i="22" s="1"/>
  <c r="BM149" i="22"/>
  <c r="BI149" i="22"/>
  <c r="BM148" i="22"/>
  <c r="BI148" i="22"/>
  <c r="BI147" i="22"/>
  <c r="BM144" i="22"/>
  <c r="BI144" i="22"/>
  <c r="BM143" i="22"/>
  <c r="BI143" i="22"/>
  <c r="BI142" i="22"/>
  <c r="BP140" i="22"/>
  <c r="BO140" i="22"/>
  <c r="BN140" i="22"/>
  <c r="BL140" i="22"/>
  <c r="BK140" i="22"/>
  <c r="BJ140" i="22"/>
  <c r="BM138" i="22"/>
  <c r="BI138" i="22"/>
  <c r="BM137" i="22"/>
  <c r="BI137" i="22"/>
  <c r="BM136" i="22"/>
  <c r="BI136" i="22"/>
  <c r="BM135" i="22"/>
  <c r="BI135" i="22"/>
  <c r="BM134" i="22"/>
  <c r="BI134" i="22"/>
  <c r="BM133" i="22"/>
  <c r="BI133" i="22"/>
  <c r="BM132" i="22"/>
  <c r="BI132" i="22"/>
  <c r="BM131" i="22"/>
  <c r="BI131" i="22"/>
  <c r="BM130" i="22"/>
  <c r="BI130" i="22"/>
  <c r="BM129" i="22"/>
  <c r="BI129" i="22"/>
  <c r="BU128" i="22"/>
  <c r="BQ128" i="22"/>
  <c r="BM128" i="22"/>
  <c r="BI128" i="22"/>
  <c r="BP126" i="22"/>
  <c r="BO126" i="22"/>
  <c r="BN126" i="22"/>
  <c r="BM126" i="22" s="1"/>
  <c r="BL126" i="22"/>
  <c r="BK126" i="22"/>
  <c r="BJ126" i="22"/>
  <c r="BM124" i="22"/>
  <c r="BI124" i="22"/>
  <c r="BM123" i="22"/>
  <c r="BM122" i="22"/>
  <c r="BI122" i="22"/>
  <c r="BP120" i="22"/>
  <c r="BO120" i="22"/>
  <c r="BN120" i="22"/>
  <c r="BL120" i="22"/>
  <c r="BK120" i="22"/>
  <c r="BJ120" i="22"/>
  <c r="BI120" i="22" s="1"/>
  <c r="BM118" i="22"/>
  <c r="BI118" i="22"/>
  <c r="BM117" i="22"/>
  <c r="BI117" i="22"/>
  <c r="BM116" i="22"/>
  <c r="BI116" i="22"/>
  <c r="BI115" i="22"/>
  <c r="BI114" i="22"/>
  <c r="BM113" i="22"/>
  <c r="BI113" i="22"/>
  <c r="BM112" i="22"/>
  <c r="BI112" i="22"/>
  <c r="BP110" i="22"/>
  <c r="BO110" i="22"/>
  <c r="BN110" i="22"/>
  <c r="BL110" i="22"/>
  <c r="BK110" i="22"/>
  <c r="BJ110" i="22"/>
  <c r="BU109" i="22"/>
  <c r="BQ109" i="22"/>
  <c r="BM109" i="22"/>
  <c r="BI109" i="22"/>
  <c r="BM108" i="22"/>
  <c r="BI108" i="22"/>
  <c r="BM107" i="22"/>
  <c r="BI107" i="22"/>
  <c r="BM106" i="22"/>
  <c r="BI106" i="22"/>
  <c r="BP104" i="22"/>
  <c r="BO104" i="22"/>
  <c r="BN104" i="22"/>
  <c r="BL104" i="22"/>
  <c r="BK104" i="22"/>
  <c r="BJ104" i="22"/>
  <c r="BM102" i="22"/>
  <c r="BI102" i="22"/>
  <c r="BM101" i="22"/>
  <c r="BI101" i="22"/>
  <c r="BM100" i="22"/>
  <c r="BI100" i="22"/>
  <c r="BM99" i="22"/>
  <c r="BI99" i="22"/>
  <c r="BP97" i="22"/>
  <c r="BO97" i="22"/>
  <c r="BN97" i="22"/>
  <c r="BL97" i="22"/>
  <c r="BK97" i="22"/>
  <c r="BJ97" i="22"/>
  <c r="BI97" i="22" s="1"/>
  <c r="BM96" i="22"/>
  <c r="BI96" i="22"/>
  <c r="BM95" i="22"/>
  <c r="BI95" i="22"/>
  <c r="BM94" i="22"/>
  <c r="BI94" i="22"/>
  <c r="BM93" i="22"/>
  <c r="BI93" i="22"/>
  <c r="BM92" i="22"/>
  <c r="BK194" i="22"/>
  <c r="BI92" i="22"/>
  <c r="BP90" i="22"/>
  <c r="BO90" i="22"/>
  <c r="BN90" i="22"/>
  <c r="BL90" i="22"/>
  <c r="BK90" i="22"/>
  <c r="BJ90" i="22"/>
  <c r="BI90" i="22" s="1"/>
  <c r="BM89" i="22"/>
  <c r="BI89" i="22"/>
  <c r="BM88" i="22"/>
  <c r="BI88" i="22"/>
  <c r="BM87" i="22"/>
  <c r="BI87" i="22"/>
  <c r="BM86" i="22"/>
  <c r="BI86" i="22"/>
  <c r="BP84" i="22"/>
  <c r="BO84" i="22"/>
  <c r="BN84" i="22"/>
  <c r="BL84" i="22"/>
  <c r="BK84" i="22"/>
  <c r="BJ84" i="22"/>
  <c r="BI83" i="22"/>
  <c r="BM82" i="22"/>
  <c r="BI82" i="22"/>
  <c r="BM81" i="22"/>
  <c r="BI81" i="22"/>
  <c r="BM80" i="22"/>
  <c r="BI80" i="22"/>
  <c r="BM79" i="22"/>
  <c r="BI79" i="22"/>
  <c r="BP77" i="22"/>
  <c r="BO77" i="22"/>
  <c r="BN77" i="22"/>
  <c r="BM77" i="22" s="1"/>
  <c r="BL77" i="22"/>
  <c r="BK77" i="22"/>
  <c r="BJ77" i="22"/>
  <c r="BM76" i="22"/>
  <c r="BI76" i="22"/>
  <c r="BM75" i="22"/>
  <c r="BI75" i="22"/>
  <c r="BM74" i="22"/>
  <c r="BI74" i="22"/>
  <c r="BM73" i="22"/>
  <c r="BI73" i="22"/>
  <c r="BM72" i="22"/>
  <c r="BI72" i="22"/>
  <c r="BP70" i="22"/>
  <c r="BO70" i="22"/>
  <c r="BN70" i="22"/>
  <c r="BM70" i="22" s="1"/>
  <c r="BL70" i="22"/>
  <c r="BK70" i="22"/>
  <c r="BJ70" i="22"/>
  <c r="BM68" i="22"/>
  <c r="BI68" i="22"/>
  <c r="BM67" i="22"/>
  <c r="BI67" i="22"/>
  <c r="BM66" i="22"/>
  <c r="BP64" i="22"/>
  <c r="BO64" i="22"/>
  <c r="BN64" i="22"/>
  <c r="BL64" i="22"/>
  <c r="BK64" i="22"/>
  <c r="BJ64" i="22"/>
  <c r="BI63" i="22"/>
  <c r="BM62" i="22"/>
  <c r="BI62" i="22"/>
  <c r="BM61" i="22"/>
  <c r="BI61" i="22"/>
  <c r="BM60" i="22"/>
  <c r="BI60" i="22"/>
  <c r="BM59" i="22"/>
  <c r="BI59" i="22"/>
  <c r="BP57" i="22"/>
  <c r="BO57" i="22"/>
  <c r="BN57" i="22"/>
  <c r="BL57" i="22"/>
  <c r="BK57" i="22"/>
  <c r="BJ57" i="22"/>
  <c r="BM55" i="22"/>
  <c r="BI55" i="22"/>
  <c r="BM54" i="22"/>
  <c r="BI54" i="22"/>
  <c r="BM53" i="22"/>
  <c r="BI53" i="22"/>
  <c r="BP51" i="22"/>
  <c r="BO51" i="22"/>
  <c r="BN51" i="22"/>
  <c r="BL51" i="22"/>
  <c r="BK51" i="22"/>
  <c r="BJ51" i="22"/>
  <c r="BI49" i="22"/>
  <c r="BM48" i="22"/>
  <c r="BI48" i="22"/>
  <c r="BM47" i="22"/>
  <c r="BI47" i="22"/>
  <c r="BM46" i="22"/>
  <c r="BI46" i="22"/>
  <c r="BP44" i="22"/>
  <c r="BO44" i="22"/>
  <c r="BN44" i="22"/>
  <c r="BL44" i="22"/>
  <c r="BK44" i="22"/>
  <c r="BJ44" i="22"/>
  <c r="BU43" i="22"/>
  <c r="BM43" i="22"/>
  <c r="BI43" i="22"/>
  <c r="BM42" i="22"/>
  <c r="BI42" i="22"/>
  <c r="BM41" i="22"/>
  <c r="BI41" i="22"/>
  <c r="BM40" i="22"/>
  <c r="BP38" i="22"/>
  <c r="BO38" i="22"/>
  <c r="BN38" i="22"/>
  <c r="BL38" i="22"/>
  <c r="BK38" i="22"/>
  <c r="BJ38" i="22"/>
  <c r="BU37" i="22"/>
  <c r="BQ37" i="22"/>
  <c r="BM37" i="22"/>
  <c r="BI37" i="22"/>
  <c r="BM36" i="22"/>
  <c r="BI36" i="22"/>
  <c r="BM35" i="22"/>
  <c r="BI35" i="22"/>
  <c r="BM33" i="22"/>
  <c r="BI33" i="22"/>
  <c r="BM31" i="22"/>
  <c r="BJ202" i="22"/>
  <c r="BI31" i="22"/>
  <c r="BM28" i="22"/>
  <c r="BI28" i="22"/>
  <c r="BM27" i="22"/>
  <c r="BI27" i="22"/>
  <c r="BM26" i="22"/>
  <c r="BI26" i="22"/>
  <c r="BM25" i="22"/>
  <c r="BI25" i="22"/>
  <c r="BM24" i="22"/>
  <c r="BI24" i="22"/>
  <c r="BM23" i="22"/>
  <c r="BI23" i="22"/>
  <c r="BM22" i="22"/>
  <c r="BI22" i="22"/>
  <c r="BM21" i="22"/>
  <c r="BI21" i="22"/>
  <c r="BM20" i="22"/>
  <c r="BI20" i="22"/>
  <c r="BM19" i="22"/>
  <c r="BI19" i="22"/>
  <c r="BM18" i="22"/>
  <c r="BI18" i="22"/>
  <c r="BM16" i="22"/>
  <c r="BI16" i="22"/>
  <c r="BP14" i="22"/>
  <c r="BO14" i="22"/>
  <c r="BN14" i="22"/>
  <c r="BL14" i="22"/>
  <c r="BK14" i="22"/>
  <c r="BJ14" i="22"/>
  <c r="BM13" i="22"/>
  <c r="BI13" i="22"/>
  <c r="BP11" i="22"/>
  <c r="BM11" i="22" s="1"/>
  <c r="BO11" i="22"/>
  <c r="BL11" i="22"/>
  <c r="BI11" i="22" s="1"/>
  <c r="BK11" i="22"/>
  <c r="BJ11" i="22"/>
  <c r="BM84" i="22" l="1"/>
  <c r="BM44" i="22"/>
  <c r="BI70" i="22"/>
  <c r="BM170" i="22"/>
  <c r="BM120" i="22"/>
  <c r="BI126" i="22"/>
  <c r="BI158" i="22"/>
  <c r="BJ189" i="22"/>
  <c r="BJ156" i="22"/>
  <c r="BI57" i="22"/>
  <c r="BI110" i="22"/>
  <c r="BM140" i="22"/>
  <c r="BM90" i="22"/>
  <c r="BM38" i="22"/>
  <c r="BI84" i="22"/>
  <c r="BM199" i="22"/>
  <c r="BI44" i="22"/>
  <c r="BM57" i="22"/>
  <c r="BI77" i="22"/>
  <c r="BM195" i="22"/>
  <c r="BI199" i="22"/>
  <c r="BI201" i="22"/>
  <c r="BM177" i="22"/>
  <c r="BI184" i="22"/>
  <c r="BM191" i="22"/>
  <c r="EF17" i="22"/>
  <c r="DB17" i="22"/>
  <c r="BI38" i="22"/>
  <c r="BM51" i="22"/>
  <c r="BM104" i="22"/>
  <c r="BM110" i="22"/>
  <c r="BI191" i="22"/>
  <c r="BM200" i="22"/>
  <c r="CX17" i="22"/>
  <c r="CG17" i="22"/>
  <c r="CX69" i="22"/>
  <c r="CG69" i="22"/>
  <c r="BU17" i="22"/>
  <c r="CN17" i="22"/>
  <c r="DD17" i="22" s="1"/>
  <c r="DT17" i="22" s="1"/>
  <c r="BM196" i="22"/>
  <c r="BM194" i="22"/>
  <c r="BQ145" i="22"/>
  <c r="CH145" i="22"/>
  <c r="BQ17" i="22"/>
  <c r="BI64" i="22"/>
  <c r="BM64" i="22"/>
  <c r="BM14" i="22"/>
  <c r="BM202" i="22"/>
  <c r="BJ162" i="22"/>
  <c r="BI162" i="22" s="1"/>
  <c r="BO203" i="22"/>
  <c r="BI140" i="22"/>
  <c r="BN203" i="22"/>
  <c r="BM197" i="22"/>
  <c r="BI197" i="22"/>
  <c r="BI195" i="22"/>
  <c r="BM190" i="22"/>
  <c r="BM198" i="22"/>
  <c r="BI14" i="22"/>
  <c r="BM189" i="22"/>
  <c r="BI51" i="22"/>
  <c r="BL180" i="22"/>
  <c r="BL187" i="22" s="1"/>
  <c r="BI190" i="22"/>
  <c r="BI196" i="22"/>
  <c r="BI198" i="22"/>
  <c r="BI200" i="22"/>
  <c r="BI66" i="22"/>
  <c r="BI104" i="22"/>
  <c r="BL202" i="22"/>
  <c r="BI202" i="22" s="1"/>
  <c r="BL189" i="22"/>
  <c r="BI40" i="22"/>
  <c r="BM97" i="22"/>
  <c r="BM151" i="22"/>
  <c r="BP180" i="22"/>
  <c r="BP187" i="22" s="1"/>
  <c r="BK180" i="22"/>
  <c r="BK187" i="22" s="1"/>
  <c r="BO180" i="22"/>
  <c r="BO187" i="22" s="1"/>
  <c r="BI123" i="22"/>
  <c r="BK189" i="22"/>
  <c r="BK203" i="22"/>
  <c r="BP203" i="22"/>
  <c r="BM193" i="22"/>
  <c r="BJ194" i="22"/>
  <c r="BI194" i="22" s="1"/>
  <c r="BM156" i="22"/>
  <c r="BM162" i="22"/>
  <c r="BI193" i="22"/>
  <c r="BI156" i="22"/>
  <c r="BJ180" i="22"/>
  <c r="BN180" i="22"/>
  <c r="BI189" i="22" l="1"/>
  <c r="CW69" i="22"/>
  <c r="DN69" i="22"/>
  <c r="CG145" i="22"/>
  <c r="CX145" i="22"/>
  <c r="EJ17" i="22"/>
  <c r="CK17" i="22"/>
  <c r="CW17" i="22"/>
  <c r="DN17" i="22"/>
  <c r="DR17" i="22"/>
  <c r="EH17" i="22" s="1"/>
  <c r="DA17" i="22"/>
  <c r="BM203" i="22"/>
  <c r="BL203" i="22"/>
  <c r="BN187" i="22"/>
  <c r="BM180" i="22"/>
  <c r="BM187" i="22" s="1"/>
  <c r="BJ203" i="22"/>
  <c r="BI180" i="22"/>
  <c r="BI187" i="22" s="1"/>
  <c r="BJ187" i="22"/>
  <c r="BI203" i="22"/>
  <c r="AW124" i="22"/>
  <c r="AT120" i="22"/>
  <c r="EG17" i="22" l="1"/>
  <c r="CW145" i="22"/>
  <c r="DN145" i="22"/>
  <c r="ED69" i="22"/>
  <c r="EC69" i="22" s="1"/>
  <c r="EL69" i="22" s="1"/>
  <c r="DM69" i="22"/>
  <c r="ED17" i="22"/>
  <c r="EC17" i="22" s="1"/>
  <c r="EL17" i="22" s="1"/>
  <c r="DM17" i="22"/>
  <c r="DQ17" i="22"/>
  <c r="BD43" i="22"/>
  <c r="BT43" i="22" s="1"/>
  <c r="CJ43" i="22" s="1"/>
  <c r="CZ43" i="22" s="1"/>
  <c r="DP43" i="22" s="1"/>
  <c r="EF43" i="22" s="1"/>
  <c r="ED145" i="22" l="1"/>
  <c r="EC145" i="22" s="1"/>
  <c r="EL145" i="22" s="1"/>
  <c r="DM145" i="22"/>
  <c r="BD49" i="22"/>
  <c r="BT49" i="22" s="1"/>
  <c r="CJ49" i="22" s="1"/>
  <c r="CZ49" i="22" s="1"/>
  <c r="DP49" i="22" s="1"/>
  <c r="EF49" i="22" s="1"/>
  <c r="BB49" i="22" l="1"/>
  <c r="AT44" i="22"/>
  <c r="AS49" i="22"/>
  <c r="BA49" i="22" l="1"/>
  <c r="BR49" i="22"/>
  <c r="BQ49" i="22" l="1"/>
  <c r="CH49" i="22"/>
  <c r="AZ202" i="22"/>
  <c r="AY202" i="22"/>
  <c r="AX202" i="22"/>
  <c r="AV202" i="22"/>
  <c r="AU202" i="22"/>
  <c r="AT202" i="22"/>
  <c r="AZ201" i="22"/>
  <c r="AY201" i="22"/>
  <c r="AX201" i="22"/>
  <c r="AV201" i="22"/>
  <c r="AU201" i="22"/>
  <c r="AT201" i="22"/>
  <c r="AZ200" i="22"/>
  <c r="AY200" i="22"/>
  <c r="AX200" i="22"/>
  <c r="AV200" i="22"/>
  <c r="AU200" i="22"/>
  <c r="AT200" i="22"/>
  <c r="AZ199" i="22"/>
  <c r="AY199" i="22"/>
  <c r="AX199" i="22"/>
  <c r="AV199" i="22"/>
  <c r="AU199" i="22"/>
  <c r="AT199" i="22"/>
  <c r="AZ198" i="22"/>
  <c r="AY198" i="22"/>
  <c r="AX198" i="22"/>
  <c r="AU198" i="22"/>
  <c r="AT198" i="22"/>
  <c r="AZ197" i="22"/>
  <c r="AY197" i="22"/>
  <c r="AX197" i="22"/>
  <c r="AV197" i="22"/>
  <c r="AU197" i="22"/>
  <c r="AT197" i="22"/>
  <c r="AZ196" i="22"/>
  <c r="AY196" i="22"/>
  <c r="AX196" i="22"/>
  <c r="AW196" i="22" s="1"/>
  <c r="AV196" i="22"/>
  <c r="AU196" i="22"/>
  <c r="AT196" i="22"/>
  <c r="AZ195" i="22"/>
  <c r="AY195" i="22"/>
  <c r="AX195" i="22"/>
  <c r="AV195" i="22"/>
  <c r="AU195" i="22"/>
  <c r="AT195" i="22"/>
  <c r="AZ194" i="22"/>
  <c r="AY194" i="22"/>
  <c r="AX194" i="22"/>
  <c r="AV194" i="22"/>
  <c r="AU194" i="22"/>
  <c r="AT194" i="22"/>
  <c r="AZ193" i="22"/>
  <c r="AY193" i="22"/>
  <c r="AX193" i="22"/>
  <c r="AV193" i="22"/>
  <c r="AU193" i="22"/>
  <c r="AT193" i="22"/>
  <c r="AZ191" i="22"/>
  <c r="AY191" i="22"/>
  <c r="AX191" i="22"/>
  <c r="AW191" i="22" s="1"/>
  <c r="AV191" i="22"/>
  <c r="AU191" i="22"/>
  <c r="AT191" i="22"/>
  <c r="AZ190" i="22"/>
  <c r="AY190" i="22"/>
  <c r="AX190" i="22"/>
  <c r="AW190" i="22" s="1"/>
  <c r="AV190" i="22"/>
  <c r="AU190" i="22"/>
  <c r="AT190" i="22"/>
  <c r="AZ189" i="22"/>
  <c r="AY189" i="22"/>
  <c r="AX189" i="22"/>
  <c r="AU189" i="22"/>
  <c r="AT189" i="22"/>
  <c r="AS186" i="22"/>
  <c r="AW184" i="22"/>
  <c r="AV184" i="22"/>
  <c r="AT184" i="22"/>
  <c r="AW183" i="22"/>
  <c r="AS183" i="22"/>
  <c r="BE182" i="22"/>
  <c r="AW182" i="22"/>
  <c r="AW179" i="22"/>
  <c r="AS179" i="22"/>
  <c r="AZ177" i="22"/>
  <c r="AY177" i="22"/>
  <c r="AX177" i="22"/>
  <c r="AV177" i="22"/>
  <c r="AU177" i="22"/>
  <c r="AT177" i="22"/>
  <c r="AW176" i="22"/>
  <c r="AS176" i="22"/>
  <c r="AW175" i="22"/>
  <c r="AS175" i="22"/>
  <c r="AW174" i="22"/>
  <c r="AS174" i="22"/>
  <c r="AW173" i="22"/>
  <c r="AS173" i="22"/>
  <c r="AZ170" i="22"/>
  <c r="AY170" i="22"/>
  <c r="AX170" i="22"/>
  <c r="AV170" i="22"/>
  <c r="AU170" i="22"/>
  <c r="AT170" i="22"/>
  <c r="AW169" i="22"/>
  <c r="AS169" i="22"/>
  <c r="AW168" i="22"/>
  <c r="AS168" i="22"/>
  <c r="AW167" i="22"/>
  <c r="AS167" i="22"/>
  <c r="AW166" i="22"/>
  <c r="AS166" i="22"/>
  <c r="AW165" i="22"/>
  <c r="AS165" i="22"/>
  <c r="AS164" i="22"/>
  <c r="AZ162" i="22"/>
  <c r="AY162" i="22"/>
  <c r="AX162" i="22"/>
  <c r="AV162" i="22"/>
  <c r="AU162" i="22"/>
  <c r="AT162" i="22"/>
  <c r="AW161" i="22"/>
  <c r="AS161" i="22"/>
  <c r="AW160" i="22"/>
  <c r="AS160" i="22"/>
  <c r="AW159" i="22"/>
  <c r="AS159" i="22"/>
  <c r="AW158" i="22"/>
  <c r="AS158" i="22"/>
  <c r="AZ156" i="22"/>
  <c r="AY156" i="22"/>
  <c r="AX156" i="22"/>
  <c r="AV156" i="22"/>
  <c r="AU156" i="22"/>
  <c r="AT156" i="22"/>
  <c r="AS156" i="22" s="1"/>
  <c r="AW154" i="22"/>
  <c r="AS154" i="22"/>
  <c r="AW153" i="22"/>
  <c r="AS153" i="22"/>
  <c r="AZ151" i="22"/>
  <c r="AY151" i="22"/>
  <c r="AX151" i="22"/>
  <c r="AV151" i="22"/>
  <c r="AU151" i="22"/>
  <c r="AT151" i="22"/>
  <c r="AW149" i="22"/>
  <c r="AS149" i="22"/>
  <c r="AW148" i="22"/>
  <c r="AS148" i="22"/>
  <c r="AS147" i="22"/>
  <c r="AS146" i="22"/>
  <c r="AW144" i="22"/>
  <c r="AS144" i="22"/>
  <c r="AW143" i="22"/>
  <c r="AS143" i="22"/>
  <c r="AS142" i="22"/>
  <c r="AZ140" i="22"/>
  <c r="AY140" i="22"/>
  <c r="AX140" i="22"/>
  <c r="AV140" i="22"/>
  <c r="AU140" i="22"/>
  <c r="AT140" i="22"/>
  <c r="AW138" i="22"/>
  <c r="AS138" i="22"/>
  <c r="AW137" i="22"/>
  <c r="AS137" i="22"/>
  <c r="AW136" i="22"/>
  <c r="AS136" i="22"/>
  <c r="AW135" i="22"/>
  <c r="AS135" i="22"/>
  <c r="AW134" i="22"/>
  <c r="AS134" i="22"/>
  <c r="AW133" i="22"/>
  <c r="AS133" i="22"/>
  <c r="AW132" i="22"/>
  <c r="AS132" i="22"/>
  <c r="AW131" i="22"/>
  <c r="AS131" i="22"/>
  <c r="AW130" i="22"/>
  <c r="AS130" i="22"/>
  <c r="AW129" i="22"/>
  <c r="AS129" i="22"/>
  <c r="BE128" i="22"/>
  <c r="BA128" i="22"/>
  <c r="AW128" i="22"/>
  <c r="AS128" i="22"/>
  <c r="AZ126" i="22"/>
  <c r="AY126" i="22"/>
  <c r="AX126" i="22"/>
  <c r="AV126" i="22"/>
  <c r="AU126" i="22"/>
  <c r="AT126" i="22"/>
  <c r="AS124" i="22"/>
  <c r="AW123" i="22"/>
  <c r="AS123" i="22"/>
  <c r="AW122" i="22"/>
  <c r="AS122" i="22"/>
  <c r="AZ120" i="22"/>
  <c r="AY120" i="22"/>
  <c r="AX120" i="22"/>
  <c r="AV120" i="22"/>
  <c r="AS120" i="22" s="1"/>
  <c r="AU120" i="22"/>
  <c r="AW118" i="22"/>
  <c r="AS118" i="22"/>
  <c r="AW117" i="22"/>
  <c r="AS117" i="22"/>
  <c r="AW116" i="22"/>
  <c r="AS116" i="22"/>
  <c r="AS115" i="22"/>
  <c r="AS114" i="22"/>
  <c r="AW113" i="22"/>
  <c r="AS113" i="22"/>
  <c r="AW112" i="22"/>
  <c r="AS112" i="22"/>
  <c r="AZ110" i="22"/>
  <c r="AY110" i="22"/>
  <c r="AX110" i="22"/>
  <c r="AV110" i="22"/>
  <c r="AU110" i="22"/>
  <c r="AT110" i="22"/>
  <c r="BE109" i="22"/>
  <c r="BA109" i="22"/>
  <c r="AW109" i="22"/>
  <c r="AS109" i="22"/>
  <c r="AW108" i="22"/>
  <c r="AS108" i="22"/>
  <c r="AW107" i="22"/>
  <c r="AS107" i="22"/>
  <c r="AW106" i="22"/>
  <c r="AS106" i="22"/>
  <c r="AZ104" i="22"/>
  <c r="AY104" i="22"/>
  <c r="AX104" i="22"/>
  <c r="AV104" i="22"/>
  <c r="AU104" i="22"/>
  <c r="AT104" i="22"/>
  <c r="AW102" i="22"/>
  <c r="AS102" i="22"/>
  <c r="AW101" i="22"/>
  <c r="AS101" i="22"/>
  <c r="AW100" i="22"/>
  <c r="AS100" i="22"/>
  <c r="AW99" i="22"/>
  <c r="AS99" i="22"/>
  <c r="AZ97" i="22"/>
  <c r="AY97" i="22"/>
  <c r="AX97" i="22"/>
  <c r="AV97" i="22"/>
  <c r="AU97" i="22"/>
  <c r="AT97" i="22"/>
  <c r="AW96" i="22"/>
  <c r="AS96" i="22"/>
  <c r="AW95" i="22"/>
  <c r="AS95" i="22"/>
  <c r="AW94" i="22"/>
  <c r="AS94" i="22"/>
  <c r="AW93" i="22"/>
  <c r="AS93" i="22"/>
  <c r="AW92" i="22"/>
  <c r="AS92" i="22"/>
  <c r="AZ90" i="22"/>
  <c r="AY90" i="22"/>
  <c r="AX90" i="22"/>
  <c r="AV90" i="22"/>
  <c r="AU90" i="22"/>
  <c r="AT90" i="22"/>
  <c r="AS90" i="22" s="1"/>
  <c r="AW89" i="22"/>
  <c r="AS89" i="22"/>
  <c r="AW88" i="22"/>
  <c r="AS88" i="22"/>
  <c r="AW87" i="22"/>
  <c r="AS87" i="22"/>
  <c r="AW86" i="22"/>
  <c r="AS86" i="22"/>
  <c r="AZ84" i="22"/>
  <c r="AY84" i="22"/>
  <c r="AX84" i="22"/>
  <c r="AV84" i="22"/>
  <c r="AU84" i="22"/>
  <c r="AT84" i="22"/>
  <c r="AS83" i="22"/>
  <c r="AW82" i="22"/>
  <c r="AS82" i="22"/>
  <c r="AW81" i="22"/>
  <c r="AS81" i="22"/>
  <c r="AW80" i="22"/>
  <c r="AS80" i="22"/>
  <c r="AW79" i="22"/>
  <c r="AS79" i="22"/>
  <c r="AZ77" i="22"/>
  <c r="AY77" i="22"/>
  <c r="AX77" i="22"/>
  <c r="AV77" i="22"/>
  <c r="AU77" i="22"/>
  <c r="AT77" i="22"/>
  <c r="AW76" i="22"/>
  <c r="AS76" i="22"/>
  <c r="AW75" i="22"/>
  <c r="AS75" i="22"/>
  <c r="AW74" i="22"/>
  <c r="AS74" i="22"/>
  <c r="AW73" i="22"/>
  <c r="AS73" i="22"/>
  <c r="AW72" i="22"/>
  <c r="AS72" i="22"/>
  <c r="AZ70" i="22"/>
  <c r="AY70" i="22"/>
  <c r="AX70" i="22"/>
  <c r="AV70" i="22"/>
  <c r="AU70" i="22"/>
  <c r="AT70" i="22"/>
  <c r="AW68" i="22"/>
  <c r="AS68" i="22"/>
  <c r="AW67" i="22"/>
  <c r="AS67" i="22"/>
  <c r="AW66" i="22"/>
  <c r="AS66" i="22"/>
  <c r="AZ64" i="22"/>
  <c r="AY64" i="22"/>
  <c r="AX64" i="22"/>
  <c r="AV64" i="22"/>
  <c r="AU64" i="22"/>
  <c r="AT64" i="22"/>
  <c r="AS63" i="22"/>
  <c r="AW62" i="22"/>
  <c r="AS62" i="22"/>
  <c r="AW61" i="22"/>
  <c r="AS61" i="22"/>
  <c r="AW60" i="22"/>
  <c r="AS60" i="22"/>
  <c r="AW59" i="22"/>
  <c r="AS59" i="22"/>
  <c r="AZ57" i="22"/>
  <c r="AY57" i="22"/>
  <c r="AX57" i="22"/>
  <c r="AV57" i="22"/>
  <c r="AU57" i="22"/>
  <c r="AT57" i="22"/>
  <c r="AW55" i="22"/>
  <c r="AS55" i="22"/>
  <c r="AW54" i="22"/>
  <c r="AS54" i="22"/>
  <c r="AW53" i="22"/>
  <c r="AS53" i="22"/>
  <c r="AZ51" i="22"/>
  <c r="AY51" i="22"/>
  <c r="AX51" i="22"/>
  <c r="AV51" i="22"/>
  <c r="AU51" i="22"/>
  <c r="AT51" i="22"/>
  <c r="AW48" i="22"/>
  <c r="AS48" i="22"/>
  <c r="AW47" i="22"/>
  <c r="AS47" i="22"/>
  <c r="AW46" i="22"/>
  <c r="AS46" i="22"/>
  <c r="AZ44" i="22"/>
  <c r="AY44" i="22"/>
  <c r="AX44" i="22"/>
  <c r="AV44" i="22"/>
  <c r="AU44" i="22"/>
  <c r="BE43" i="22"/>
  <c r="AW43" i="22"/>
  <c r="AS43" i="22"/>
  <c r="AW42" i="22"/>
  <c r="AS42" i="22"/>
  <c r="AW41" i="22"/>
  <c r="AS41" i="22"/>
  <c r="AW40" i="22"/>
  <c r="AS40" i="22"/>
  <c r="AZ38" i="22"/>
  <c r="AY38" i="22"/>
  <c r="AX38" i="22"/>
  <c r="AV38" i="22"/>
  <c r="AU38" i="22"/>
  <c r="AT38" i="22"/>
  <c r="BE37" i="22"/>
  <c r="BA37" i="22"/>
  <c r="AW37" i="22"/>
  <c r="AS37" i="22"/>
  <c r="AW36" i="22"/>
  <c r="AS36" i="22"/>
  <c r="AW35" i="22"/>
  <c r="AS35" i="22"/>
  <c r="AW33" i="22"/>
  <c r="AS33" i="22"/>
  <c r="AW31" i="22"/>
  <c r="AS31" i="22"/>
  <c r="AW28" i="22"/>
  <c r="AS28" i="22"/>
  <c r="AW27" i="22"/>
  <c r="AS27" i="22"/>
  <c r="AW26" i="22"/>
  <c r="AS26" i="22"/>
  <c r="AW25" i="22"/>
  <c r="AS25" i="22"/>
  <c r="AW24" i="22"/>
  <c r="AS24" i="22"/>
  <c r="AW23" i="22"/>
  <c r="AS23" i="22"/>
  <c r="AW22" i="22"/>
  <c r="AS22" i="22"/>
  <c r="AW21" i="22"/>
  <c r="AS21" i="22"/>
  <c r="AW20" i="22"/>
  <c r="AS20" i="22"/>
  <c r="AW19" i="22"/>
  <c r="AS19" i="22"/>
  <c r="AW18" i="22"/>
  <c r="AS18" i="22"/>
  <c r="AS16" i="22"/>
  <c r="AZ14" i="22"/>
  <c r="AY14" i="22"/>
  <c r="AX14" i="22"/>
  <c r="AV14" i="22"/>
  <c r="AU14" i="22"/>
  <c r="AT14" i="22"/>
  <c r="AW13" i="22"/>
  <c r="AS13" i="22"/>
  <c r="AZ11" i="22"/>
  <c r="AW11" i="22" s="1"/>
  <c r="AY11" i="22"/>
  <c r="AV11" i="22"/>
  <c r="AU11" i="22"/>
  <c r="AT11" i="22"/>
  <c r="AW70" i="22" l="1"/>
  <c r="AS11" i="22"/>
  <c r="AS51" i="22"/>
  <c r="AS191" i="22"/>
  <c r="AS195" i="22"/>
  <c r="AW200" i="22"/>
  <c r="AW38" i="22"/>
  <c r="AW84" i="22"/>
  <c r="AW162" i="22"/>
  <c r="AS170" i="22"/>
  <c r="AW199" i="22"/>
  <c r="AW51" i="22"/>
  <c r="AS64" i="22"/>
  <c r="AS77" i="22"/>
  <c r="AW104" i="22"/>
  <c r="AW120" i="22"/>
  <c r="AW64" i="22"/>
  <c r="AW77" i="22"/>
  <c r="AS110" i="22"/>
  <c r="AS162" i="22"/>
  <c r="AW156" i="22"/>
  <c r="AW126" i="22"/>
  <c r="AW14" i="22"/>
  <c r="AW57" i="22"/>
  <c r="AS84" i="22"/>
  <c r="AW90" i="22"/>
  <c r="AW97" i="22"/>
  <c r="AW110" i="22"/>
  <c r="AS140" i="22"/>
  <c r="AW151" i="22"/>
  <c r="AS199" i="22"/>
  <c r="AS151" i="22"/>
  <c r="AW170" i="22"/>
  <c r="CG49" i="22"/>
  <c r="CX49" i="22"/>
  <c r="AW195" i="22"/>
  <c r="AW197" i="22"/>
  <c r="AW198" i="22"/>
  <c r="AW194" i="22"/>
  <c r="AW140" i="22"/>
  <c r="AW189" i="22"/>
  <c r="AY203" i="22"/>
  <c r="AS104" i="22"/>
  <c r="AS190" i="22"/>
  <c r="AY180" i="22"/>
  <c r="AY187" i="22" s="1"/>
  <c r="AS193" i="22"/>
  <c r="AS194" i="22"/>
  <c r="AS196" i="22"/>
  <c r="AS38" i="22"/>
  <c r="AW44" i="22"/>
  <c r="AW201" i="22"/>
  <c r="AS201" i="22"/>
  <c r="AS97" i="22"/>
  <c r="AS70" i="22"/>
  <c r="AS57" i="22"/>
  <c r="AS126" i="22"/>
  <c r="AS44" i="22"/>
  <c r="AW202" i="22"/>
  <c r="AZ203" i="22"/>
  <c r="AU203" i="22"/>
  <c r="AS197" i="22"/>
  <c r="AS14" i="22"/>
  <c r="AS200" i="22"/>
  <c r="AS202" i="22"/>
  <c r="AV180" i="22"/>
  <c r="AV187" i="22" s="1"/>
  <c r="AS177" i="22"/>
  <c r="AU180" i="22"/>
  <c r="AU187" i="22" s="1"/>
  <c r="AS184" i="22"/>
  <c r="AT180" i="22"/>
  <c r="AT203" i="22"/>
  <c r="AV198" i="22"/>
  <c r="AS198" i="22" s="1"/>
  <c r="AV189" i="22"/>
  <c r="AS189" i="22" s="1"/>
  <c r="AZ180" i="22"/>
  <c r="AZ187" i="22" s="1"/>
  <c r="AW177" i="22"/>
  <c r="AX180" i="22"/>
  <c r="AX203" i="22"/>
  <c r="AW193" i="22"/>
  <c r="AC63" i="22"/>
  <c r="AL43" i="22"/>
  <c r="BB43" i="22" s="1"/>
  <c r="BA43" i="22" s="1"/>
  <c r="AK43" i="22" l="1"/>
  <c r="BR43" i="22"/>
  <c r="CW49" i="22"/>
  <c r="DN49" i="22"/>
  <c r="AW203" i="22"/>
  <c r="BQ43" i="22"/>
  <c r="CH43" i="22"/>
  <c r="AV203" i="22"/>
  <c r="AS203" i="22"/>
  <c r="AW180" i="22"/>
  <c r="AW187" i="22" s="1"/>
  <c r="AX187" i="22"/>
  <c r="AS180" i="22"/>
  <c r="AS187" i="22" s="1"/>
  <c r="AT187" i="22"/>
  <c r="AD190" i="22"/>
  <c r="AF190" i="22"/>
  <c r="AF202" i="22"/>
  <c r="AD202" i="22"/>
  <c r="AL83" i="22"/>
  <c r="BB83" i="22" s="1"/>
  <c r="AM83" i="22"/>
  <c r="BC83" i="22" s="1"/>
  <c r="BS83" i="22" s="1"/>
  <c r="CI83" i="22" s="1"/>
  <c r="CY83" i="22" s="1"/>
  <c r="DO83" i="22" s="1"/>
  <c r="EE83" i="22" s="1"/>
  <c r="AN83" i="22"/>
  <c r="AC81" i="22"/>
  <c r="AC82" i="22"/>
  <c r="AC83" i="22"/>
  <c r="AC79" i="22"/>
  <c r="AF77" i="22"/>
  <c r="AE193" i="22"/>
  <c r="AF193" i="22"/>
  <c r="AE189" i="22"/>
  <c r="AL164" i="22"/>
  <c r="BB164" i="22" s="1"/>
  <c r="AC164" i="22"/>
  <c r="AC146" i="22"/>
  <c r="AC147" i="22"/>
  <c r="AC114" i="22"/>
  <c r="AC115" i="22"/>
  <c r="AK83" i="22" l="1"/>
  <c r="BD83" i="22"/>
  <c r="BT83" i="22" s="1"/>
  <c r="CJ83" i="22" s="1"/>
  <c r="CZ83" i="22" s="1"/>
  <c r="DP83" i="22" s="1"/>
  <c r="EF83" i="22" s="1"/>
  <c r="ED49" i="22"/>
  <c r="EC49" i="22" s="1"/>
  <c r="EL49" i="22" s="1"/>
  <c r="DM49" i="22"/>
  <c r="BA164" i="22"/>
  <c r="BR164" i="22"/>
  <c r="AK164" i="22"/>
  <c r="BR83" i="22"/>
  <c r="CG43" i="22"/>
  <c r="CX43" i="22"/>
  <c r="AC202" i="22"/>
  <c r="AJ202" i="22"/>
  <c r="AI202" i="22"/>
  <c r="AH202" i="22"/>
  <c r="AE202" i="22"/>
  <c r="AJ201" i="22"/>
  <c r="AI201" i="22"/>
  <c r="AH201" i="22"/>
  <c r="AF201" i="22"/>
  <c r="AE201" i="22"/>
  <c r="AD201" i="22"/>
  <c r="AJ200" i="22"/>
  <c r="AI200" i="22"/>
  <c r="AH200" i="22"/>
  <c r="AF200" i="22"/>
  <c r="AE200" i="22"/>
  <c r="AD200" i="22"/>
  <c r="AJ199" i="22"/>
  <c r="AI199" i="22"/>
  <c r="AH199" i="22"/>
  <c r="AF199" i="22"/>
  <c r="AC199" i="22" s="1"/>
  <c r="AE199" i="22"/>
  <c r="AD199" i="22"/>
  <c r="AJ198" i="22"/>
  <c r="AI198" i="22"/>
  <c r="AH198" i="22"/>
  <c r="AE198" i="22"/>
  <c r="AJ197" i="22"/>
  <c r="AI197" i="22"/>
  <c r="AH197" i="22"/>
  <c r="AF197" i="22"/>
  <c r="AE197" i="22"/>
  <c r="AD197" i="22"/>
  <c r="AJ196" i="22"/>
  <c r="AI196" i="22"/>
  <c r="AH196" i="22"/>
  <c r="AF196" i="22"/>
  <c r="AE196" i="22"/>
  <c r="AD196" i="22"/>
  <c r="AJ195" i="22"/>
  <c r="AI195" i="22"/>
  <c r="AH195" i="22"/>
  <c r="AF195" i="22"/>
  <c r="AE195" i="22"/>
  <c r="AD195" i="22"/>
  <c r="AJ194" i="22"/>
  <c r="AI194" i="22"/>
  <c r="AH194" i="22"/>
  <c r="AF194" i="22"/>
  <c r="AE194" i="22"/>
  <c r="AD194" i="22"/>
  <c r="AJ193" i="22"/>
  <c r="AI193" i="22"/>
  <c r="AH193" i="22"/>
  <c r="AD193" i="22"/>
  <c r="AJ191" i="22"/>
  <c r="AI191" i="22"/>
  <c r="AH191" i="22"/>
  <c r="AF191" i="22"/>
  <c r="AE191" i="22"/>
  <c r="AD191" i="22"/>
  <c r="AJ190" i="22"/>
  <c r="AI190" i="22"/>
  <c r="AH190" i="22"/>
  <c r="AE190" i="22"/>
  <c r="AC190" i="22"/>
  <c r="AJ189" i="22"/>
  <c r="AI189" i="22"/>
  <c r="AH189" i="22"/>
  <c r="AC186" i="22"/>
  <c r="AG184" i="22"/>
  <c r="AF184" i="22"/>
  <c r="AD184" i="22"/>
  <c r="AG183" i="22"/>
  <c r="AC183" i="22"/>
  <c r="AO182" i="22"/>
  <c r="AG182" i="22"/>
  <c r="AG179" i="22"/>
  <c r="AC179" i="22"/>
  <c r="AJ177" i="22"/>
  <c r="AI177" i="22"/>
  <c r="AH177" i="22"/>
  <c r="AF177" i="22"/>
  <c r="AE177" i="22"/>
  <c r="AD177" i="22"/>
  <c r="AG176" i="22"/>
  <c r="AC176" i="22"/>
  <c r="AG175" i="22"/>
  <c r="AC175" i="22"/>
  <c r="AG174" i="22"/>
  <c r="AC174" i="22"/>
  <c r="AG173" i="22"/>
  <c r="AC173" i="22"/>
  <c r="AJ170" i="22"/>
  <c r="AI170" i="22"/>
  <c r="AH170" i="22"/>
  <c r="AF170" i="22"/>
  <c r="AE170" i="22"/>
  <c r="AD170" i="22"/>
  <c r="AG169" i="22"/>
  <c r="AC169" i="22"/>
  <c r="AG168" i="22"/>
  <c r="AC168" i="22"/>
  <c r="AG167" i="22"/>
  <c r="AC167" i="22"/>
  <c r="AG166" i="22"/>
  <c r="AC166" i="22"/>
  <c r="AG165" i="22"/>
  <c r="AC165" i="22"/>
  <c r="AJ162" i="22"/>
  <c r="AI162" i="22"/>
  <c r="AH162" i="22"/>
  <c r="AF162" i="22"/>
  <c r="AE162" i="22"/>
  <c r="AD162" i="22"/>
  <c r="AG161" i="22"/>
  <c r="AC161" i="22"/>
  <c r="AG160" i="22"/>
  <c r="AC160" i="22"/>
  <c r="AG159" i="22"/>
  <c r="AC159" i="22"/>
  <c r="AG158" i="22"/>
  <c r="AC158" i="22"/>
  <c r="AJ156" i="22"/>
  <c r="AI156" i="22"/>
  <c r="AH156" i="22"/>
  <c r="AF156" i="22"/>
  <c r="AE156" i="22"/>
  <c r="AD156" i="22"/>
  <c r="AG154" i="22"/>
  <c r="AC154" i="22"/>
  <c r="AG153" i="22"/>
  <c r="AC153" i="22"/>
  <c r="AJ151" i="22"/>
  <c r="AI151" i="22"/>
  <c r="AH151" i="22"/>
  <c r="AF151" i="22"/>
  <c r="AE151" i="22"/>
  <c r="AD151" i="22"/>
  <c r="AC151" i="22" s="1"/>
  <c r="AG149" i="22"/>
  <c r="AC149" i="22"/>
  <c r="AG148" i="22"/>
  <c r="AC148" i="22"/>
  <c r="AG144" i="22"/>
  <c r="AC144" i="22"/>
  <c r="AG143" i="22"/>
  <c r="AC143" i="22"/>
  <c r="AC142" i="22"/>
  <c r="AJ140" i="22"/>
  <c r="AI140" i="22"/>
  <c r="AH140" i="22"/>
  <c r="AF140" i="22"/>
  <c r="AE140" i="22"/>
  <c r="AD140" i="22"/>
  <c r="AG138" i="22"/>
  <c r="AC138" i="22"/>
  <c r="AG137" i="22"/>
  <c r="AC137" i="22"/>
  <c r="AG136" i="22"/>
  <c r="AC136" i="22"/>
  <c r="AG135" i="22"/>
  <c r="AC135" i="22"/>
  <c r="AG134" i="22"/>
  <c r="AC134" i="22"/>
  <c r="AG133" i="22"/>
  <c r="AC133" i="22"/>
  <c r="AG132" i="22"/>
  <c r="AC132" i="22"/>
  <c r="AG131" i="22"/>
  <c r="AC131" i="22"/>
  <c r="AG130" i="22"/>
  <c r="AC130" i="22"/>
  <c r="AG129" i="22"/>
  <c r="AC129" i="22"/>
  <c r="AO128" i="22"/>
  <c r="AK128" i="22"/>
  <c r="AG128" i="22"/>
  <c r="AC128" i="22"/>
  <c r="AJ126" i="22"/>
  <c r="AI126" i="22"/>
  <c r="AH126" i="22"/>
  <c r="AF126" i="22"/>
  <c r="AE126" i="22"/>
  <c r="AD126" i="22"/>
  <c r="AG124" i="22"/>
  <c r="AC124" i="22"/>
  <c r="AG123" i="22"/>
  <c r="AC123" i="22"/>
  <c r="AG122" i="22"/>
  <c r="AC122" i="22"/>
  <c r="AJ120" i="22"/>
  <c r="AI120" i="22"/>
  <c r="AH120" i="22"/>
  <c r="AF120" i="22"/>
  <c r="AE120" i="22"/>
  <c r="AD120" i="22"/>
  <c r="AC120" i="22" s="1"/>
  <c r="AG118" i="22"/>
  <c r="AC118" i="22"/>
  <c r="AG117" i="22"/>
  <c r="AC117" i="22"/>
  <c r="AG116" i="22"/>
  <c r="AC116" i="22"/>
  <c r="AG113" i="22"/>
  <c r="AC113" i="22"/>
  <c r="AG112" i="22"/>
  <c r="AC112" i="22"/>
  <c r="AJ110" i="22"/>
  <c r="AI110" i="22"/>
  <c r="AH110" i="22"/>
  <c r="AF110" i="22"/>
  <c r="AE110" i="22"/>
  <c r="AD110" i="22"/>
  <c r="AO109" i="22"/>
  <c r="AK109" i="22"/>
  <c r="AG109" i="22"/>
  <c r="AC109" i="22"/>
  <c r="AG108" i="22"/>
  <c r="AC108" i="22"/>
  <c r="AG107" i="22"/>
  <c r="AC107" i="22"/>
  <c r="AG106" i="22"/>
  <c r="AC106" i="22"/>
  <c r="AJ104" i="22"/>
  <c r="AI104" i="22"/>
  <c r="AH104" i="22"/>
  <c r="AF104" i="22"/>
  <c r="AE104" i="22"/>
  <c r="AD104" i="22"/>
  <c r="AC104" i="22" s="1"/>
  <c r="AG102" i="22"/>
  <c r="AC102" i="22"/>
  <c r="AG101" i="22"/>
  <c r="AC101" i="22"/>
  <c r="AG100" i="22"/>
  <c r="AC100" i="22"/>
  <c r="AG99" i="22"/>
  <c r="AC99" i="22"/>
  <c r="AJ97" i="22"/>
  <c r="AI97" i="22"/>
  <c r="AH97" i="22"/>
  <c r="AF97" i="22"/>
  <c r="AE97" i="22"/>
  <c r="AD97" i="22"/>
  <c r="AG96" i="22"/>
  <c r="AC96" i="22"/>
  <c r="AG95" i="22"/>
  <c r="AC95" i="22"/>
  <c r="AG94" i="22"/>
  <c r="AC94" i="22"/>
  <c r="AG93" i="22"/>
  <c r="AC93" i="22"/>
  <c r="AG92" i="22"/>
  <c r="AC92" i="22"/>
  <c r="AJ90" i="22"/>
  <c r="AI90" i="22"/>
  <c r="AH90" i="22"/>
  <c r="AF90" i="22"/>
  <c r="AE90" i="22"/>
  <c r="AD90" i="22"/>
  <c r="AG89" i="22"/>
  <c r="AC89" i="22"/>
  <c r="AG88" i="22"/>
  <c r="AC88" i="22"/>
  <c r="AG87" i="22"/>
  <c r="AC87" i="22"/>
  <c r="AG86" i="22"/>
  <c r="AC86" i="22"/>
  <c r="AJ84" i="22"/>
  <c r="AI84" i="22"/>
  <c r="AH84" i="22"/>
  <c r="AF84" i="22"/>
  <c r="AE84" i="22"/>
  <c r="AD84" i="22"/>
  <c r="AG82" i="22"/>
  <c r="AG81" i="22"/>
  <c r="AG80" i="22"/>
  <c r="AC80" i="22"/>
  <c r="AG79" i="22"/>
  <c r="AJ77" i="22"/>
  <c r="AI77" i="22"/>
  <c r="AH77" i="22"/>
  <c r="AE77" i="22"/>
  <c r="AD77" i="22"/>
  <c r="AG76" i="22"/>
  <c r="AC76" i="22"/>
  <c r="AG75" i="22"/>
  <c r="AC75" i="22"/>
  <c r="AG74" i="22"/>
  <c r="AC74" i="22"/>
  <c r="AG73" i="22"/>
  <c r="AC73" i="22"/>
  <c r="AG72" i="22"/>
  <c r="AC72" i="22"/>
  <c r="AJ70" i="22"/>
  <c r="AI70" i="22"/>
  <c r="AH70" i="22"/>
  <c r="AF70" i="22"/>
  <c r="AE70" i="22"/>
  <c r="AD70" i="22"/>
  <c r="AG68" i="22"/>
  <c r="AC68" i="22"/>
  <c r="AG67" i="22"/>
  <c r="AC67" i="22"/>
  <c r="AG66" i="22"/>
  <c r="AC66" i="22"/>
  <c r="AJ64" i="22"/>
  <c r="AI64" i="22"/>
  <c r="AH64" i="22"/>
  <c r="AF64" i="22"/>
  <c r="AE64" i="22"/>
  <c r="AD64" i="22"/>
  <c r="AG62" i="22"/>
  <c r="AC62" i="22"/>
  <c r="AG61" i="22"/>
  <c r="AC61" i="22"/>
  <c r="AG60" i="22"/>
  <c r="AC60" i="22"/>
  <c r="AG59" i="22"/>
  <c r="AC59" i="22"/>
  <c r="AJ57" i="22"/>
  <c r="AI57" i="22"/>
  <c r="AH57" i="22"/>
  <c r="AF57" i="22"/>
  <c r="AE57" i="22"/>
  <c r="AD57" i="22"/>
  <c r="AG55" i="22"/>
  <c r="AC55" i="22"/>
  <c r="AG54" i="22"/>
  <c r="AC54" i="22"/>
  <c r="AG53" i="22"/>
  <c r="AC53" i="22"/>
  <c r="AJ51" i="22"/>
  <c r="AI51" i="22"/>
  <c r="AH51" i="22"/>
  <c r="AF51" i="22"/>
  <c r="AE51" i="22"/>
  <c r="AD51" i="22"/>
  <c r="AG48" i="22"/>
  <c r="AC48" i="22"/>
  <c r="AG47" i="22"/>
  <c r="AC47" i="22"/>
  <c r="AG46" i="22"/>
  <c r="AC46" i="22"/>
  <c r="AJ44" i="22"/>
  <c r="AI44" i="22"/>
  <c r="AH44" i="22"/>
  <c r="AF44" i="22"/>
  <c r="AE44" i="22"/>
  <c r="AD44" i="22"/>
  <c r="AC44" i="22" s="1"/>
  <c r="AO43" i="22"/>
  <c r="AG43" i="22"/>
  <c r="AC43" i="22"/>
  <c r="AG42" i="22"/>
  <c r="AC42" i="22"/>
  <c r="AG41" i="22"/>
  <c r="AC41" i="22"/>
  <c r="AG40" i="22"/>
  <c r="AC40" i="22"/>
  <c r="AJ38" i="22"/>
  <c r="AI38" i="22"/>
  <c r="AH38" i="22"/>
  <c r="AF38" i="22"/>
  <c r="AE38" i="22"/>
  <c r="AD38" i="22"/>
  <c r="AO37" i="22"/>
  <c r="AK37" i="22"/>
  <c r="AG37" i="22"/>
  <c r="AC37" i="22"/>
  <c r="AG36" i="22"/>
  <c r="AC36" i="22"/>
  <c r="AG35" i="22"/>
  <c r="AC35" i="22"/>
  <c r="AG33" i="22"/>
  <c r="AC33" i="22"/>
  <c r="AG31" i="22"/>
  <c r="AC31" i="22"/>
  <c r="AG28" i="22"/>
  <c r="AC28" i="22"/>
  <c r="AG27" i="22"/>
  <c r="AC27" i="22"/>
  <c r="AG26" i="22"/>
  <c r="AC26" i="22"/>
  <c r="AG25" i="22"/>
  <c r="AF25" i="22"/>
  <c r="AD14" i="22"/>
  <c r="AG24" i="22"/>
  <c r="AC24" i="22"/>
  <c r="AG23" i="22"/>
  <c r="AC23" i="22"/>
  <c r="AG22" i="22"/>
  <c r="AC22" i="22"/>
  <c r="AG21" i="22"/>
  <c r="AC21" i="22"/>
  <c r="AG20" i="22"/>
  <c r="AC20" i="22"/>
  <c r="AG19" i="22"/>
  <c r="AC19" i="22"/>
  <c r="AG18" i="22"/>
  <c r="AC18" i="22"/>
  <c r="AG16" i="22"/>
  <c r="AC16" i="22"/>
  <c r="AJ14" i="22"/>
  <c r="AI14" i="22"/>
  <c r="AH14" i="22"/>
  <c r="AE14" i="22"/>
  <c r="AG13" i="22"/>
  <c r="AC13" i="22"/>
  <c r="AJ11" i="22"/>
  <c r="AG11" i="22" s="1"/>
  <c r="AI11" i="22"/>
  <c r="AF11" i="22"/>
  <c r="AE11" i="22"/>
  <c r="AD11" i="22"/>
  <c r="AG84" i="22" l="1"/>
  <c r="AC84" i="22"/>
  <c r="AG201" i="22"/>
  <c r="AC70" i="22"/>
  <c r="AC97" i="22"/>
  <c r="AC140" i="22"/>
  <c r="AG191" i="22"/>
  <c r="AG44" i="22"/>
  <c r="AG104" i="22"/>
  <c r="AG120" i="22"/>
  <c r="AG70" i="22"/>
  <c r="AG97" i="22"/>
  <c r="AG162" i="22"/>
  <c r="AG199" i="22"/>
  <c r="AG57" i="22"/>
  <c r="AC184" i="22"/>
  <c r="AG151" i="22"/>
  <c r="AC11" i="22"/>
  <c r="AC191" i="22"/>
  <c r="AC57" i="22"/>
  <c r="AC156" i="22"/>
  <c r="CW43" i="22"/>
  <c r="DN43" i="22"/>
  <c r="BQ83" i="22"/>
  <c r="CH83" i="22"/>
  <c r="CH164" i="22"/>
  <c r="BQ164" i="22"/>
  <c r="AF198" i="22"/>
  <c r="AF189" i="22"/>
  <c r="BA83" i="22"/>
  <c r="AG126" i="22"/>
  <c r="AC126" i="22"/>
  <c r="AG196" i="22"/>
  <c r="AC196" i="22"/>
  <c r="AG64" i="22"/>
  <c r="AG51" i="22"/>
  <c r="AG200" i="22"/>
  <c r="AC51" i="22"/>
  <c r="AG195" i="22"/>
  <c r="AG197" i="22"/>
  <c r="AG198" i="22"/>
  <c r="AG38" i="22"/>
  <c r="AG189" i="22"/>
  <c r="AG202" i="22"/>
  <c r="AC201" i="22"/>
  <c r="AC38" i="22"/>
  <c r="AC162" i="22"/>
  <c r="AC195" i="22"/>
  <c r="AG140" i="22"/>
  <c r="AC197" i="22"/>
  <c r="AC110" i="22"/>
  <c r="AC200" i="22"/>
  <c r="AG110" i="22"/>
  <c r="AH203" i="22"/>
  <c r="AG194" i="22"/>
  <c r="AG190" i="22"/>
  <c r="AG90" i="22"/>
  <c r="AC90" i="22"/>
  <c r="AG14" i="22"/>
  <c r="AG77" i="22"/>
  <c r="AC64" i="22"/>
  <c r="AC77" i="22"/>
  <c r="AD180" i="22"/>
  <c r="AD198" i="22"/>
  <c r="AD203" i="22" s="1"/>
  <c r="AD189" i="22"/>
  <c r="AF14" i="22"/>
  <c r="AC14" i="22" s="1"/>
  <c r="AC25" i="22"/>
  <c r="AG156" i="22"/>
  <c r="AH180" i="22"/>
  <c r="AE180" i="22"/>
  <c r="AE187" i="22" s="1"/>
  <c r="AJ180" i="22"/>
  <c r="AJ187" i="22" s="1"/>
  <c r="AC193" i="22"/>
  <c r="AJ203" i="22"/>
  <c r="AG193" i="22"/>
  <c r="AE203" i="22"/>
  <c r="AG170" i="22"/>
  <c r="AG177" i="22"/>
  <c r="AC170" i="22"/>
  <c r="AC177" i="22"/>
  <c r="AI180" i="22"/>
  <c r="AI187" i="22" s="1"/>
  <c r="AI203" i="22"/>
  <c r="AF203" i="22"/>
  <c r="AC194" i="22"/>
  <c r="AC189" i="22" l="1"/>
  <c r="AG203" i="22"/>
  <c r="DM43" i="22"/>
  <c r="ED43" i="22"/>
  <c r="EC43" i="22" s="1"/>
  <c r="EL43" i="22" s="1"/>
  <c r="CX164" i="22"/>
  <c r="CG164" i="22"/>
  <c r="CX83" i="22"/>
  <c r="CG83" i="22"/>
  <c r="AC198" i="22"/>
  <c r="AC203" i="22" s="1"/>
  <c r="AF180" i="22"/>
  <c r="AF187" i="22" s="1"/>
  <c r="AH187" i="22"/>
  <c r="AG180" i="22"/>
  <c r="AG187" i="22" s="1"/>
  <c r="AD187" i="22"/>
  <c r="N25" i="22"/>
  <c r="P25" i="22"/>
  <c r="P31" i="22"/>
  <c r="CW164" i="22" l="1"/>
  <c r="DN164" i="22"/>
  <c r="CW83" i="22"/>
  <c r="DN83" i="22"/>
  <c r="AC180" i="22"/>
  <c r="AC187" i="22" s="1"/>
  <c r="O126" i="22"/>
  <c r="AB186" i="22"/>
  <c r="AR186" i="22" s="1"/>
  <c r="BH186" i="22" s="1"/>
  <c r="BX186" i="22" s="1"/>
  <c r="CN186" i="22" s="1"/>
  <c r="DD186" i="22" s="1"/>
  <c r="DT186" i="22" s="1"/>
  <c r="AA186" i="22"/>
  <c r="AQ186" i="22" s="1"/>
  <c r="BG186" i="22" s="1"/>
  <c r="BW186" i="22" s="1"/>
  <c r="CM186" i="22" s="1"/>
  <c r="DC186" i="22" s="1"/>
  <c r="DS186" i="22" s="1"/>
  <c r="EI186" i="22" s="1"/>
  <c r="Z186" i="22"/>
  <c r="AP186" i="22" s="1"/>
  <c r="X186" i="22"/>
  <c r="AN186" i="22" s="1"/>
  <c r="BD186" i="22" s="1"/>
  <c r="BT186" i="22" s="1"/>
  <c r="CJ186" i="22" s="1"/>
  <c r="CZ186" i="22" s="1"/>
  <c r="DP186" i="22" s="1"/>
  <c r="W186" i="22"/>
  <c r="AM186" i="22" s="1"/>
  <c r="BC186" i="22" s="1"/>
  <c r="BS186" i="22" s="1"/>
  <c r="CI186" i="22" s="1"/>
  <c r="CY186" i="22" s="1"/>
  <c r="DO186" i="22" s="1"/>
  <c r="EE186" i="22" s="1"/>
  <c r="V186" i="22"/>
  <c r="AL186" i="22" s="1"/>
  <c r="AB184" i="22"/>
  <c r="AR184" i="22" s="1"/>
  <c r="AA184" i="22"/>
  <c r="AQ184" i="22" s="1"/>
  <c r="BG184" i="22" s="1"/>
  <c r="BW184" i="22" s="1"/>
  <c r="CM184" i="22" s="1"/>
  <c r="DC184" i="22" s="1"/>
  <c r="DS184" i="22" s="1"/>
  <c r="EI184" i="22" s="1"/>
  <c r="Z184" i="22"/>
  <c r="AP184" i="22" s="1"/>
  <c r="BF184" i="22" s="1"/>
  <c r="W184" i="22"/>
  <c r="AM184" i="22" s="1"/>
  <c r="BC184" i="22" s="1"/>
  <c r="BS184" i="22" s="1"/>
  <c r="CI184" i="22" s="1"/>
  <c r="CY184" i="22" s="1"/>
  <c r="DO184" i="22" s="1"/>
  <c r="EE184" i="22" s="1"/>
  <c r="AB183" i="22"/>
  <c r="AR183" i="22" s="1"/>
  <c r="BH183" i="22" s="1"/>
  <c r="BX183" i="22" s="1"/>
  <c r="AA183" i="22"/>
  <c r="AQ183" i="22" s="1"/>
  <c r="BG183" i="22" s="1"/>
  <c r="BW183" i="22" s="1"/>
  <c r="CM183" i="22" s="1"/>
  <c r="DC183" i="22" s="1"/>
  <c r="DS183" i="22" s="1"/>
  <c r="EI183" i="22" s="1"/>
  <c r="Z183" i="22"/>
  <c r="W183" i="22"/>
  <c r="AM183" i="22" s="1"/>
  <c r="BC183" i="22" s="1"/>
  <c r="BS183" i="22" s="1"/>
  <c r="CI183" i="22" s="1"/>
  <c r="CY183" i="22" s="1"/>
  <c r="DO183" i="22" s="1"/>
  <c r="EE183" i="22" s="1"/>
  <c r="V183" i="22"/>
  <c r="W41" i="22"/>
  <c r="AM41" i="22" s="1"/>
  <c r="BC41" i="22" s="1"/>
  <c r="X41" i="22"/>
  <c r="AN41" i="22" s="1"/>
  <c r="BD41" i="22" s="1"/>
  <c r="Z41" i="22"/>
  <c r="AA41" i="22"/>
  <c r="AQ41" i="22" s="1"/>
  <c r="BG41" i="22" s="1"/>
  <c r="AB41" i="22"/>
  <c r="V42" i="22"/>
  <c r="AL42" i="22" s="1"/>
  <c r="BB42" i="22" s="1"/>
  <c r="W42" i="22"/>
  <c r="AM42" i="22" s="1"/>
  <c r="BC42" i="22" s="1"/>
  <c r="BS42" i="22" s="1"/>
  <c r="CI42" i="22" s="1"/>
  <c r="CY42" i="22" s="1"/>
  <c r="DO42" i="22" s="1"/>
  <c r="EE42" i="22" s="1"/>
  <c r="X42" i="22"/>
  <c r="Z42" i="22"/>
  <c r="AP42" i="22" s="1"/>
  <c r="BF42" i="22" s="1"/>
  <c r="BV42" i="22" s="1"/>
  <c r="CL42" i="22" s="1"/>
  <c r="DB42" i="22" s="1"/>
  <c r="DR42" i="22" s="1"/>
  <c r="AA42" i="22"/>
  <c r="AQ42" i="22" s="1"/>
  <c r="BG42" i="22" s="1"/>
  <c r="BW42" i="22" s="1"/>
  <c r="CM42" i="22" s="1"/>
  <c r="DC42" i="22" s="1"/>
  <c r="DS42" i="22" s="1"/>
  <c r="EI42" i="22" s="1"/>
  <c r="AB42" i="22"/>
  <c r="W47" i="22"/>
  <c r="AM47" i="22" s="1"/>
  <c r="BC47" i="22" s="1"/>
  <c r="BS47" i="22" s="1"/>
  <c r="X47" i="22"/>
  <c r="AN47" i="22" s="1"/>
  <c r="BD47" i="22" s="1"/>
  <c r="BT47" i="22" s="1"/>
  <c r="CJ47" i="22" s="1"/>
  <c r="CZ47" i="22" s="1"/>
  <c r="DP47" i="22" s="1"/>
  <c r="EF47" i="22" s="1"/>
  <c r="Z47" i="22"/>
  <c r="AP47" i="22" s="1"/>
  <c r="BF47" i="22" s="1"/>
  <c r="AA47" i="22"/>
  <c r="AQ47" i="22" s="1"/>
  <c r="BG47" i="22" s="1"/>
  <c r="BW47" i="22" s="1"/>
  <c r="CM47" i="22" s="1"/>
  <c r="AB47" i="22"/>
  <c r="V48" i="22"/>
  <c r="AL48" i="22" s="1"/>
  <c r="BB48" i="22" s="1"/>
  <c r="BR48" i="22" s="1"/>
  <c r="CH48" i="22" s="1"/>
  <c r="CX48" i="22" s="1"/>
  <c r="DN48" i="22" s="1"/>
  <c r="W48" i="22"/>
  <c r="AM48" i="22" s="1"/>
  <c r="BC48" i="22" s="1"/>
  <c r="BS48" i="22" s="1"/>
  <c r="CI48" i="22" s="1"/>
  <c r="CY48" i="22" s="1"/>
  <c r="DO48" i="22" s="1"/>
  <c r="EE48" i="22" s="1"/>
  <c r="X48" i="22"/>
  <c r="AN48" i="22" s="1"/>
  <c r="Z48" i="22"/>
  <c r="AP48" i="22" s="1"/>
  <c r="BF48" i="22" s="1"/>
  <c r="BV48" i="22" s="1"/>
  <c r="CL48" i="22" s="1"/>
  <c r="DB48" i="22" s="1"/>
  <c r="DR48" i="22" s="1"/>
  <c r="AA48" i="22"/>
  <c r="AQ48" i="22" s="1"/>
  <c r="BG48" i="22" s="1"/>
  <c r="BW48" i="22" s="1"/>
  <c r="CM48" i="22" s="1"/>
  <c r="DC48" i="22" s="1"/>
  <c r="DS48" i="22" s="1"/>
  <c r="EI48" i="22" s="1"/>
  <c r="AB48" i="22"/>
  <c r="W54" i="22"/>
  <c r="AM54" i="22" s="1"/>
  <c r="BC54" i="22" s="1"/>
  <c r="X54" i="22"/>
  <c r="AN54" i="22" s="1"/>
  <c r="BD54" i="22" s="1"/>
  <c r="Z54" i="22"/>
  <c r="AP54" i="22" s="1"/>
  <c r="AA54" i="22"/>
  <c r="AQ54" i="22" s="1"/>
  <c r="BG54" i="22" s="1"/>
  <c r="AB54" i="22"/>
  <c r="V55" i="22"/>
  <c r="AL55" i="22" s="1"/>
  <c r="W55" i="22"/>
  <c r="AM55" i="22" s="1"/>
  <c r="BC55" i="22" s="1"/>
  <c r="BS55" i="22" s="1"/>
  <c r="CI55" i="22" s="1"/>
  <c r="CY55" i="22" s="1"/>
  <c r="DO55" i="22" s="1"/>
  <c r="EE55" i="22" s="1"/>
  <c r="X55" i="22"/>
  <c r="AN55" i="22" s="1"/>
  <c r="BD55" i="22" s="1"/>
  <c r="Z55" i="22"/>
  <c r="AP55" i="22" s="1"/>
  <c r="BF55" i="22" s="1"/>
  <c r="BV55" i="22" s="1"/>
  <c r="CL55" i="22" s="1"/>
  <c r="DB55" i="22" s="1"/>
  <c r="DR55" i="22" s="1"/>
  <c r="AA55" i="22"/>
  <c r="AQ55" i="22" s="1"/>
  <c r="BG55" i="22" s="1"/>
  <c r="BW55" i="22" s="1"/>
  <c r="CM55" i="22" s="1"/>
  <c r="DC55" i="22" s="1"/>
  <c r="DS55" i="22" s="1"/>
  <c r="EI55" i="22" s="1"/>
  <c r="AB55" i="22"/>
  <c r="V56" i="22"/>
  <c r="AL56" i="22" s="1"/>
  <c r="BB56" i="22" s="1"/>
  <c r="BR56" i="22" s="1"/>
  <c r="CH56" i="22" s="1"/>
  <c r="CX56" i="22" s="1"/>
  <c r="DN56" i="22" s="1"/>
  <c r="W56" i="22"/>
  <c r="AM56" i="22" s="1"/>
  <c r="BC56" i="22" s="1"/>
  <c r="BS56" i="22" s="1"/>
  <c r="CI56" i="22" s="1"/>
  <c r="CY56" i="22" s="1"/>
  <c r="DO56" i="22" s="1"/>
  <c r="EE56" i="22" s="1"/>
  <c r="X56" i="22"/>
  <c r="AN56" i="22" s="1"/>
  <c r="BD56" i="22" s="1"/>
  <c r="Z56" i="22"/>
  <c r="AP56" i="22" s="1"/>
  <c r="BF56" i="22" s="1"/>
  <c r="BV56" i="22" s="1"/>
  <c r="CL56" i="22" s="1"/>
  <c r="DB56" i="22" s="1"/>
  <c r="DR56" i="22" s="1"/>
  <c r="AA56" i="22"/>
  <c r="AQ56" i="22" s="1"/>
  <c r="BG56" i="22" s="1"/>
  <c r="BW56" i="22" s="1"/>
  <c r="CM56" i="22" s="1"/>
  <c r="DC56" i="22" s="1"/>
  <c r="DS56" i="22" s="1"/>
  <c r="EI56" i="22" s="1"/>
  <c r="AB56" i="22"/>
  <c r="Z60" i="22"/>
  <c r="AA60" i="22"/>
  <c r="AQ60" i="22" s="1"/>
  <c r="BG60" i="22" s="1"/>
  <c r="AB60" i="22"/>
  <c r="W61" i="22"/>
  <c r="AM61" i="22" s="1"/>
  <c r="BC61" i="22" s="1"/>
  <c r="BS61" i="22" s="1"/>
  <c r="CI61" i="22" s="1"/>
  <c r="CY61" i="22" s="1"/>
  <c r="DO61" i="22" s="1"/>
  <c r="EE61" i="22" s="1"/>
  <c r="X61" i="22"/>
  <c r="AN61" i="22" s="1"/>
  <c r="BD61" i="22" s="1"/>
  <c r="BT61" i="22" s="1"/>
  <c r="CJ61" i="22" s="1"/>
  <c r="CZ61" i="22" s="1"/>
  <c r="DP61" i="22" s="1"/>
  <c r="EF61" i="22" s="1"/>
  <c r="Z61" i="22"/>
  <c r="AA61" i="22"/>
  <c r="AQ61" i="22" s="1"/>
  <c r="BG61" i="22" s="1"/>
  <c r="BW61" i="22" s="1"/>
  <c r="CM61" i="22" s="1"/>
  <c r="DC61" i="22" s="1"/>
  <c r="DS61" i="22" s="1"/>
  <c r="EI61" i="22" s="1"/>
  <c r="AB61" i="22"/>
  <c r="AR61" i="22" s="1"/>
  <c r="BH61" i="22" s="1"/>
  <c r="BX61" i="22" s="1"/>
  <c r="CN61" i="22" s="1"/>
  <c r="DD61" i="22" s="1"/>
  <c r="DT61" i="22" s="1"/>
  <c r="EJ61" i="22" s="1"/>
  <c r="V62" i="22"/>
  <c r="AL62" i="22" s="1"/>
  <c r="BB62" i="22" s="1"/>
  <c r="BR62" i="22" s="1"/>
  <c r="CH62" i="22" s="1"/>
  <c r="CX62" i="22" s="1"/>
  <c r="DN62" i="22" s="1"/>
  <c r="W62" i="22"/>
  <c r="AM62" i="22" s="1"/>
  <c r="BC62" i="22" s="1"/>
  <c r="BS62" i="22" s="1"/>
  <c r="CI62" i="22" s="1"/>
  <c r="CY62" i="22" s="1"/>
  <c r="DO62" i="22" s="1"/>
  <c r="EE62" i="22" s="1"/>
  <c r="X62" i="22"/>
  <c r="AN62" i="22" s="1"/>
  <c r="BD62" i="22" s="1"/>
  <c r="Z62" i="22"/>
  <c r="AA62" i="22"/>
  <c r="AQ62" i="22" s="1"/>
  <c r="BG62" i="22" s="1"/>
  <c r="BW62" i="22" s="1"/>
  <c r="CM62" i="22" s="1"/>
  <c r="DC62" i="22" s="1"/>
  <c r="DS62" i="22" s="1"/>
  <c r="EI62" i="22" s="1"/>
  <c r="AB62" i="22"/>
  <c r="AR62" i="22" s="1"/>
  <c r="BH62" i="22" s="1"/>
  <c r="V63" i="22"/>
  <c r="AL63" i="22" s="1"/>
  <c r="BB63" i="22" s="1"/>
  <c r="W63" i="22"/>
  <c r="AM63" i="22" s="1"/>
  <c r="BC63" i="22" s="1"/>
  <c r="BS63" i="22" s="1"/>
  <c r="CI63" i="22" s="1"/>
  <c r="CY63" i="22" s="1"/>
  <c r="DO63" i="22" s="1"/>
  <c r="EE63" i="22" s="1"/>
  <c r="X63" i="22"/>
  <c r="AN63" i="22" s="1"/>
  <c r="BD63" i="22" s="1"/>
  <c r="BT63" i="22" s="1"/>
  <c r="CJ63" i="22" s="1"/>
  <c r="CZ63" i="22" s="1"/>
  <c r="DP63" i="22" s="1"/>
  <c r="EF63" i="22" s="1"/>
  <c r="Z63" i="22"/>
  <c r="AA63" i="22"/>
  <c r="AQ63" i="22" s="1"/>
  <c r="BG63" i="22" s="1"/>
  <c r="BW63" i="22" s="1"/>
  <c r="CM63" i="22" s="1"/>
  <c r="DC63" i="22" s="1"/>
  <c r="DS63" i="22" s="1"/>
  <c r="EI63" i="22" s="1"/>
  <c r="AB63" i="22"/>
  <c r="AR63" i="22" s="1"/>
  <c r="BH63" i="22" s="1"/>
  <c r="BX63" i="22" s="1"/>
  <c r="CN63" i="22" s="1"/>
  <c r="DD63" i="22" s="1"/>
  <c r="DT63" i="22" s="1"/>
  <c r="EJ63" i="22" s="1"/>
  <c r="W67" i="22"/>
  <c r="AM67" i="22" s="1"/>
  <c r="BC67" i="22" s="1"/>
  <c r="X67" i="22"/>
  <c r="AN67" i="22" s="1"/>
  <c r="BD67" i="22" s="1"/>
  <c r="Z67" i="22"/>
  <c r="AP67" i="22" s="1"/>
  <c r="BF67" i="22" s="1"/>
  <c r="AA67" i="22"/>
  <c r="AQ67" i="22" s="1"/>
  <c r="BG67" i="22" s="1"/>
  <c r="AB67" i="22"/>
  <c r="V68" i="22"/>
  <c r="W68" i="22"/>
  <c r="AM68" i="22" s="1"/>
  <c r="BC68" i="22" s="1"/>
  <c r="BS68" i="22" s="1"/>
  <c r="CI68" i="22" s="1"/>
  <c r="CY68" i="22" s="1"/>
  <c r="DO68" i="22" s="1"/>
  <c r="EE68" i="22" s="1"/>
  <c r="X68" i="22"/>
  <c r="AN68" i="22" s="1"/>
  <c r="BD68" i="22" s="1"/>
  <c r="Z68" i="22"/>
  <c r="AP68" i="22" s="1"/>
  <c r="BF68" i="22" s="1"/>
  <c r="BV68" i="22" s="1"/>
  <c r="CL68" i="22" s="1"/>
  <c r="DB68" i="22" s="1"/>
  <c r="DR68" i="22" s="1"/>
  <c r="AA68" i="22"/>
  <c r="AQ68" i="22" s="1"/>
  <c r="BG68" i="22" s="1"/>
  <c r="BW68" i="22" s="1"/>
  <c r="CM68" i="22" s="1"/>
  <c r="DC68" i="22" s="1"/>
  <c r="DS68" i="22" s="1"/>
  <c r="EI68" i="22" s="1"/>
  <c r="AB68" i="22"/>
  <c r="W73" i="22"/>
  <c r="AM73" i="22" s="1"/>
  <c r="BC73" i="22" s="1"/>
  <c r="X73" i="22"/>
  <c r="AN73" i="22" s="1"/>
  <c r="BD73" i="22" s="1"/>
  <c r="Z73" i="22"/>
  <c r="AP73" i="22" s="1"/>
  <c r="BF73" i="22" s="1"/>
  <c r="AA73" i="22"/>
  <c r="AQ73" i="22" s="1"/>
  <c r="BG73" i="22" s="1"/>
  <c r="AB73" i="22"/>
  <c r="V74" i="22"/>
  <c r="W74" i="22"/>
  <c r="AM74" i="22" s="1"/>
  <c r="BC74" i="22" s="1"/>
  <c r="BS74" i="22" s="1"/>
  <c r="CI74" i="22" s="1"/>
  <c r="CY74" i="22" s="1"/>
  <c r="DO74" i="22" s="1"/>
  <c r="EE74" i="22" s="1"/>
  <c r="X74" i="22"/>
  <c r="AN74" i="22" s="1"/>
  <c r="BD74" i="22" s="1"/>
  <c r="BT74" i="22" s="1"/>
  <c r="CJ74" i="22" s="1"/>
  <c r="CZ74" i="22" s="1"/>
  <c r="DP74" i="22" s="1"/>
  <c r="EF74" i="22" s="1"/>
  <c r="Z74" i="22"/>
  <c r="AP74" i="22" s="1"/>
  <c r="BF74" i="22" s="1"/>
  <c r="AA74" i="22"/>
  <c r="AQ74" i="22" s="1"/>
  <c r="BG74" i="22" s="1"/>
  <c r="BW74" i="22" s="1"/>
  <c r="CM74" i="22" s="1"/>
  <c r="DC74" i="22" s="1"/>
  <c r="DS74" i="22" s="1"/>
  <c r="EI74" i="22" s="1"/>
  <c r="AB74" i="22"/>
  <c r="V75" i="22"/>
  <c r="W75" i="22"/>
  <c r="AM75" i="22" s="1"/>
  <c r="BC75" i="22" s="1"/>
  <c r="BS75" i="22" s="1"/>
  <c r="CI75" i="22" s="1"/>
  <c r="CY75" i="22" s="1"/>
  <c r="DO75" i="22" s="1"/>
  <c r="EE75" i="22" s="1"/>
  <c r="X75" i="22"/>
  <c r="AN75" i="22" s="1"/>
  <c r="BD75" i="22" s="1"/>
  <c r="BT75" i="22" s="1"/>
  <c r="CJ75" i="22" s="1"/>
  <c r="CZ75" i="22" s="1"/>
  <c r="DP75" i="22" s="1"/>
  <c r="EF75" i="22" s="1"/>
  <c r="Z75" i="22"/>
  <c r="AP75" i="22" s="1"/>
  <c r="BF75" i="22" s="1"/>
  <c r="BV75" i="22" s="1"/>
  <c r="CL75" i="22" s="1"/>
  <c r="DB75" i="22" s="1"/>
  <c r="DR75" i="22" s="1"/>
  <c r="AA75" i="22"/>
  <c r="AQ75" i="22" s="1"/>
  <c r="BG75" i="22" s="1"/>
  <c r="BW75" i="22" s="1"/>
  <c r="CM75" i="22" s="1"/>
  <c r="DC75" i="22" s="1"/>
  <c r="DS75" i="22" s="1"/>
  <c r="EI75" i="22" s="1"/>
  <c r="AB75" i="22"/>
  <c r="W76" i="22"/>
  <c r="AM76" i="22" s="1"/>
  <c r="BC76" i="22" s="1"/>
  <c r="BS76" i="22" s="1"/>
  <c r="CI76" i="22" s="1"/>
  <c r="CY76" i="22" s="1"/>
  <c r="DO76" i="22" s="1"/>
  <c r="EE76" i="22" s="1"/>
  <c r="Z76" i="22"/>
  <c r="AP76" i="22" s="1"/>
  <c r="BF76" i="22" s="1"/>
  <c r="AA76" i="22"/>
  <c r="AQ76" i="22" s="1"/>
  <c r="BG76" i="22" s="1"/>
  <c r="BW76" i="22" s="1"/>
  <c r="CM76" i="22" s="1"/>
  <c r="DC76" i="22" s="1"/>
  <c r="DS76" i="22" s="1"/>
  <c r="EI76" i="22" s="1"/>
  <c r="AB76" i="22"/>
  <c r="W80" i="22"/>
  <c r="AM80" i="22" s="1"/>
  <c r="BC80" i="22" s="1"/>
  <c r="X80" i="22"/>
  <c r="AN80" i="22" s="1"/>
  <c r="Z80" i="22"/>
  <c r="AA80" i="22"/>
  <c r="AQ80" i="22" s="1"/>
  <c r="BG80" i="22" s="1"/>
  <c r="AB80" i="22"/>
  <c r="V81" i="22"/>
  <c r="AL81" i="22" s="1"/>
  <c r="W81" i="22"/>
  <c r="AM81" i="22" s="1"/>
  <c r="BC81" i="22" s="1"/>
  <c r="BS81" i="22" s="1"/>
  <c r="CI81" i="22" s="1"/>
  <c r="CY81" i="22" s="1"/>
  <c r="DO81" i="22" s="1"/>
  <c r="EE81" i="22" s="1"/>
  <c r="X81" i="22"/>
  <c r="AN81" i="22" s="1"/>
  <c r="BD81" i="22" s="1"/>
  <c r="Z81" i="22"/>
  <c r="AP81" i="22" s="1"/>
  <c r="BF81" i="22" s="1"/>
  <c r="AA81" i="22"/>
  <c r="AQ81" i="22" s="1"/>
  <c r="BG81" i="22" s="1"/>
  <c r="BW81" i="22" s="1"/>
  <c r="CM81" i="22" s="1"/>
  <c r="DC81" i="22" s="1"/>
  <c r="DS81" i="22" s="1"/>
  <c r="EI81" i="22" s="1"/>
  <c r="AB81" i="22"/>
  <c r="AR81" i="22" s="1"/>
  <c r="BH81" i="22" s="1"/>
  <c r="BX81" i="22" s="1"/>
  <c r="CN81" i="22" s="1"/>
  <c r="DD81" i="22" s="1"/>
  <c r="DT81" i="22" s="1"/>
  <c r="EJ81" i="22" s="1"/>
  <c r="V82" i="22"/>
  <c r="AL82" i="22" s="1"/>
  <c r="BB82" i="22" s="1"/>
  <c r="W82" i="22"/>
  <c r="AM82" i="22" s="1"/>
  <c r="BC82" i="22" s="1"/>
  <c r="BS82" i="22" s="1"/>
  <c r="CI82" i="22" s="1"/>
  <c r="CY82" i="22" s="1"/>
  <c r="DO82" i="22" s="1"/>
  <c r="EE82" i="22" s="1"/>
  <c r="Z82" i="22"/>
  <c r="AA82" i="22"/>
  <c r="AQ82" i="22" s="1"/>
  <c r="BG82" i="22" s="1"/>
  <c r="BW82" i="22" s="1"/>
  <c r="CM82" i="22" s="1"/>
  <c r="DC82" i="22" s="1"/>
  <c r="DS82" i="22" s="1"/>
  <c r="EI82" i="22" s="1"/>
  <c r="AB82" i="22"/>
  <c r="AR82" i="22" s="1"/>
  <c r="BH82" i="22" s="1"/>
  <c r="BX82" i="22" s="1"/>
  <c r="CN82" i="22" s="1"/>
  <c r="DD82" i="22" s="1"/>
  <c r="DT82" i="22" s="1"/>
  <c r="EJ82" i="22" s="1"/>
  <c r="W87" i="22"/>
  <c r="AM87" i="22" s="1"/>
  <c r="Z87" i="22"/>
  <c r="AP87" i="22" s="1"/>
  <c r="AA87" i="22"/>
  <c r="AQ87" i="22" s="1"/>
  <c r="AB87" i="22"/>
  <c r="V88" i="22"/>
  <c r="W88" i="22"/>
  <c r="AM88" i="22" s="1"/>
  <c r="BC88" i="22" s="1"/>
  <c r="BS88" i="22" s="1"/>
  <c r="CI88" i="22" s="1"/>
  <c r="CY88" i="22" s="1"/>
  <c r="DO88" i="22" s="1"/>
  <c r="EE88" i="22" s="1"/>
  <c r="X88" i="22"/>
  <c r="AN88" i="22" s="1"/>
  <c r="BD88" i="22" s="1"/>
  <c r="BT88" i="22" s="1"/>
  <c r="CJ88" i="22" s="1"/>
  <c r="CZ88" i="22" s="1"/>
  <c r="DP88" i="22" s="1"/>
  <c r="EF88" i="22" s="1"/>
  <c r="Z88" i="22"/>
  <c r="AP88" i="22" s="1"/>
  <c r="AA88" i="22"/>
  <c r="AQ88" i="22" s="1"/>
  <c r="BG88" i="22" s="1"/>
  <c r="BW88" i="22" s="1"/>
  <c r="CM88" i="22" s="1"/>
  <c r="DC88" i="22" s="1"/>
  <c r="DS88" i="22" s="1"/>
  <c r="EI88" i="22" s="1"/>
  <c r="AB88" i="22"/>
  <c r="V89" i="22"/>
  <c r="W89" i="22"/>
  <c r="AM89" i="22" s="1"/>
  <c r="BC89" i="22" s="1"/>
  <c r="BS89" i="22" s="1"/>
  <c r="CI89" i="22" s="1"/>
  <c r="CY89" i="22" s="1"/>
  <c r="DO89" i="22" s="1"/>
  <c r="EE89" i="22" s="1"/>
  <c r="Z89" i="22"/>
  <c r="AP89" i="22" s="1"/>
  <c r="AA89" i="22"/>
  <c r="AQ89" i="22" s="1"/>
  <c r="BG89" i="22" s="1"/>
  <c r="BW89" i="22" s="1"/>
  <c r="CM89" i="22" s="1"/>
  <c r="DC89" i="22" s="1"/>
  <c r="DS89" i="22" s="1"/>
  <c r="EI89" i="22" s="1"/>
  <c r="AB89" i="22"/>
  <c r="W93" i="22"/>
  <c r="AM93" i="22" s="1"/>
  <c r="X93" i="22"/>
  <c r="AN93" i="22" s="1"/>
  <c r="Z93" i="22"/>
  <c r="AP93" i="22" s="1"/>
  <c r="AA93" i="22"/>
  <c r="AQ93" i="22" s="1"/>
  <c r="AB93" i="22"/>
  <c r="AR93" i="22" s="1"/>
  <c r="BH93" i="22" s="1"/>
  <c r="V94" i="22"/>
  <c r="AL94" i="22" s="1"/>
  <c r="W94" i="22"/>
  <c r="AM94" i="22" s="1"/>
  <c r="BC94" i="22" s="1"/>
  <c r="BS94" i="22" s="1"/>
  <c r="CI94" i="22" s="1"/>
  <c r="CY94" i="22" s="1"/>
  <c r="DO94" i="22" s="1"/>
  <c r="EE94" i="22" s="1"/>
  <c r="X94" i="22"/>
  <c r="AN94" i="22" s="1"/>
  <c r="BD94" i="22" s="1"/>
  <c r="BT94" i="22" s="1"/>
  <c r="CJ94" i="22" s="1"/>
  <c r="CZ94" i="22" s="1"/>
  <c r="DP94" i="22" s="1"/>
  <c r="EF94" i="22" s="1"/>
  <c r="Z94" i="22"/>
  <c r="AP94" i="22" s="1"/>
  <c r="AA94" i="22"/>
  <c r="AQ94" i="22" s="1"/>
  <c r="BG94" i="22" s="1"/>
  <c r="BW94" i="22" s="1"/>
  <c r="CM94" i="22" s="1"/>
  <c r="DC94" i="22" s="1"/>
  <c r="DS94" i="22" s="1"/>
  <c r="EI94" i="22" s="1"/>
  <c r="AB94" i="22"/>
  <c r="W95" i="22"/>
  <c r="AM95" i="22" s="1"/>
  <c r="BC95" i="22" s="1"/>
  <c r="BS95" i="22" s="1"/>
  <c r="CI95" i="22" s="1"/>
  <c r="CY95" i="22" s="1"/>
  <c r="DO95" i="22" s="1"/>
  <c r="EE95" i="22" s="1"/>
  <c r="Z95" i="22"/>
  <c r="AP95" i="22" s="1"/>
  <c r="AA95" i="22"/>
  <c r="AQ95" i="22" s="1"/>
  <c r="BG95" i="22" s="1"/>
  <c r="BW95" i="22" s="1"/>
  <c r="CM95" i="22" s="1"/>
  <c r="DC95" i="22" s="1"/>
  <c r="DS95" i="22" s="1"/>
  <c r="EI95" i="22" s="1"/>
  <c r="AB95" i="22"/>
  <c r="V96" i="22"/>
  <c r="AL96" i="22" s="1"/>
  <c r="W96" i="22"/>
  <c r="AM96" i="22" s="1"/>
  <c r="BC96" i="22" s="1"/>
  <c r="BS96" i="22" s="1"/>
  <c r="CI96" i="22" s="1"/>
  <c r="CY96" i="22" s="1"/>
  <c r="DO96" i="22" s="1"/>
  <c r="EE96" i="22" s="1"/>
  <c r="X96" i="22"/>
  <c r="AN96" i="22" s="1"/>
  <c r="BD96" i="22" s="1"/>
  <c r="Z96" i="22"/>
  <c r="AP96" i="22" s="1"/>
  <c r="AA96" i="22"/>
  <c r="AQ96" i="22" s="1"/>
  <c r="BG96" i="22" s="1"/>
  <c r="BW96" i="22" s="1"/>
  <c r="CM96" i="22" s="1"/>
  <c r="DC96" i="22" s="1"/>
  <c r="DS96" i="22" s="1"/>
  <c r="EI96" i="22" s="1"/>
  <c r="AB96" i="22"/>
  <c r="W100" i="22"/>
  <c r="AM100" i="22" s="1"/>
  <c r="X100" i="22"/>
  <c r="Z100" i="22"/>
  <c r="AA100" i="22"/>
  <c r="AQ100" i="22" s="1"/>
  <c r="AB100" i="22"/>
  <c r="V101" i="22"/>
  <c r="W101" i="22"/>
  <c r="AM101" i="22" s="1"/>
  <c r="BC101" i="22" s="1"/>
  <c r="BS101" i="22" s="1"/>
  <c r="CI101" i="22" s="1"/>
  <c r="CY101" i="22" s="1"/>
  <c r="DO101" i="22" s="1"/>
  <c r="EE101" i="22" s="1"/>
  <c r="X101" i="22"/>
  <c r="AN101" i="22" s="1"/>
  <c r="BD101" i="22" s="1"/>
  <c r="BT101" i="22" s="1"/>
  <c r="CJ101" i="22" s="1"/>
  <c r="CZ101" i="22" s="1"/>
  <c r="DP101" i="22" s="1"/>
  <c r="EF101" i="22" s="1"/>
  <c r="Z101" i="22"/>
  <c r="AA101" i="22"/>
  <c r="AQ101" i="22" s="1"/>
  <c r="BG101" i="22" s="1"/>
  <c r="BW101" i="22" s="1"/>
  <c r="CM101" i="22" s="1"/>
  <c r="DC101" i="22" s="1"/>
  <c r="DS101" i="22" s="1"/>
  <c r="EI101" i="22" s="1"/>
  <c r="AB101" i="22"/>
  <c r="AR101" i="22" s="1"/>
  <c r="BH101" i="22" s="1"/>
  <c r="BX101" i="22" s="1"/>
  <c r="CN101" i="22" s="1"/>
  <c r="DD101" i="22" s="1"/>
  <c r="DT101" i="22" s="1"/>
  <c r="EJ101" i="22" s="1"/>
  <c r="V102" i="22"/>
  <c r="W102" i="22"/>
  <c r="AM102" i="22" s="1"/>
  <c r="BC102" i="22" s="1"/>
  <c r="BS102" i="22" s="1"/>
  <c r="CI102" i="22" s="1"/>
  <c r="CY102" i="22" s="1"/>
  <c r="DO102" i="22" s="1"/>
  <c r="EE102" i="22" s="1"/>
  <c r="X102" i="22"/>
  <c r="AN102" i="22" s="1"/>
  <c r="BD102" i="22" s="1"/>
  <c r="BT102" i="22" s="1"/>
  <c r="CJ102" i="22" s="1"/>
  <c r="CZ102" i="22" s="1"/>
  <c r="DP102" i="22" s="1"/>
  <c r="Z102" i="22"/>
  <c r="AA102" i="22"/>
  <c r="AQ102" i="22" s="1"/>
  <c r="BG102" i="22" s="1"/>
  <c r="BW102" i="22" s="1"/>
  <c r="CM102" i="22" s="1"/>
  <c r="DC102" i="22" s="1"/>
  <c r="DS102" i="22" s="1"/>
  <c r="EI102" i="22" s="1"/>
  <c r="AB102" i="22"/>
  <c r="AR102" i="22" s="1"/>
  <c r="BH102" i="22" s="1"/>
  <c r="W107" i="22"/>
  <c r="AM107" i="22" s="1"/>
  <c r="Z107" i="22"/>
  <c r="AA107" i="22"/>
  <c r="AQ107" i="22" s="1"/>
  <c r="AB107" i="22"/>
  <c r="V108" i="22"/>
  <c r="W108" i="22"/>
  <c r="AM108" i="22" s="1"/>
  <c r="BC108" i="22" s="1"/>
  <c r="BS108" i="22" s="1"/>
  <c r="CI108" i="22" s="1"/>
  <c r="CY108" i="22" s="1"/>
  <c r="DO108" i="22" s="1"/>
  <c r="EE108" i="22" s="1"/>
  <c r="X108" i="22"/>
  <c r="AN108" i="22" s="1"/>
  <c r="BD108" i="22" s="1"/>
  <c r="BT108" i="22" s="1"/>
  <c r="CJ108" i="22" s="1"/>
  <c r="CZ108" i="22" s="1"/>
  <c r="DP108" i="22" s="1"/>
  <c r="EF108" i="22" s="1"/>
  <c r="Z108" i="22"/>
  <c r="AA108" i="22"/>
  <c r="AQ108" i="22" s="1"/>
  <c r="BG108" i="22" s="1"/>
  <c r="BW108" i="22" s="1"/>
  <c r="CM108" i="22" s="1"/>
  <c r="DC108" i="22" s="1"/>
  <c r="DS108" i="22" s="1"/>
  <c r="EI108" i="22" s="1"/>
  <c r="AB108" i="22"/>
  <c r="AR108" i="22" s="1"/>
  <c r="BH108" i="22" s="1"/>
  <c r="BX108" i="22" s="1"/>
  <c r="CN108" i="22" s="1"/>
  <c r="DD108" i="22" s="1"/>
  <c r="DT108" i="22" s="1"/>
  <c r="EJ108" i="22" s="1"/>
  <c r="W113" i="22"/>
  <c r="AM113" i="22" s="1"/>
  <c r="BC113" i="22" s="1"/>
  <c r="X113" i="22"/>
  <c r="AN113" i="22" s="1"/>
  <c r="BD113" i="22" s="1"/>
  <c r="Z113" i="22"/>
  <c r="AP113" i="22" s="1"/>
  <c r="BF113" i="22" s="1"/>
  <c r="AA113" i="22"/>
  <c r="AQ113" i="22" s="1"/>
  <c r="BG113" i="22" s="1"/>
  <c r="AB113" i="22"/>
  <c r="V114" i="22"/>
  <c r="AL114" i="22" s="1"/>
  <c r="BB114" i="22" s="1"/>
  <c r="W114" i="22"/>
  <c r="AM114" i="22" s="1"/>
  <c r="BC114" i="22" s="1"/>
  <c r="BS114" i="22" s="1"/>
  <c r="CI114" i="22" s="1"/>
  <c r="CY114" i="22" s="1"/>
  <c r="DO114" i="22" s="1"/>
  <c r="EE114" i="22" s="1"/>
  <c r="X114" i="22"/>
  <c r="AN114" i="22" s="1"/>
  <c r="BD114" i="22" s="1"/>
  <c r="BT114" i="22" s="1"/>
  <c r="CJ114" i="22" s="1"/>
  <c r="CZ114" i="22" s="1"/>
  <c r="Z114" i="22"/>
  <c r="AP114" i="22" s="1"/>
  <c r="BF114" i="22" s="1"/>
  <c r="AA114" i="22"/>
  <c r="AQ114" i="22" s="1"/>
  <c r="BG114" i="22" s="1"/>
  <c r="BW114" i="22" s="1"/>
  <c r="CM114" i="22" s="1"/>
  <c r="DC114" i="22" s="1"/>
  <c r="DS114" i="22" s="1"/>
  <c r="EI114" i="22" s="1"/>
  <c r="AB114" i="22"/>
  <c r="V115" i="22"/>
  <c r="AL115" i="22" s="1"/>
  <c r="BB115" i="22" s="1"/>
  <c r="BR115" i="22" s="1"/>
  <c r="CH115" i="22" s="1"/>
  <c r="CX115" i="22" s="1"/>
  <c r="W115" i="22"/>
  <c r="AM115" i="22" s="1"/>
  <c r="BC115" i="22" s="1"/>
  <c r="BS115" i="22" s="1"/>
  <c r="CI115" i="22" s="1"/>
  <c r="CY115" i="22" s="1"/>
  <c r="DO115" i="22" s="1"/>
  <c r="EE115" i="22" s="1"/>
  <c r="X115" i="22"/>
  <c r="AN115" i="22" s="1"/>
  <c r="BD115" i="22" s="1"/>
  <c r="Z115" i="22"/>
  <c r="AP115" i="22" s="1"/>
  <c r="BF115" i="22" s="1"/>
  <c r="BV115" i="22" s="1"/>
  <c r="CL115" i="22" s="1"/>
  <c r="DB115" i="22" s="1"/>
  <c r="AA115" i="22"/>
  <c r="AQ115" i="22" s="1"/>
  <c r="BG115" i="22" s="1"/>
  <c r="BW115" i="22" s="1"/>
  <c r="CM115" i="22" s="1"/>
  <c r="DC115" i="22" s="1"/>
  <c r="DS115" i="22" s="1"/>
  <c r="EI115" i="22" s="1"/>
  <c r="AB115" i="22"/>
  <c r="V116" i="22"/>
  <c r="AL116" i="22" s="1"/>
  <c r="BB116" i="22" s="1"/>
  <c r="W116" i="22"/>
  <c r="AM116" i="22" s="1"/>
  <c r="BC116" i="22" s="1"/>
  <c r="BS116" i="22" s="1"/>
  <c r="CI116" i="22" s="1"/>
  <c r="CY116" i="22" s="1"/>
  <c r="DO116" i="22" s="1"/>
  <c r="EE116" i="22" s="1"/>
  <c r="X116" i="22"/>
  <c r="AN116" i="22" s="1"/>
  <c r="BD116" i="22" s="1"/>
  <c r="BT116" i="22" s="1"/>
  <c r="CJ116" i="22" s="1"/>
  <c r="CZ116" i="22" s="1"/>
  <c r="DP116" i="22" s="1"/>
  <c r="EF116" i="22" s="1"/>
  <c r="Z116" i="22"/>
  <c r="AP116" i="22" s="1"/>
  <c r="BF116" i="22" s="1"/>
  <c r="AA116" i="22"/>
  <c r="AQ116" i="22" s="1"/>
  <c r="BG116" i="22" s="1"/>
  <c r="BW116" i="22" s="1"/>
  <c r="CM116" i="22" s="1"/>
  <c r="DC116" i="22" s="1"/>
  <c r="DS116" i="22" s="1"/>
  <c r="EI116" i="22" s="1"/>
  <c r="AB116" i="22"/>
  <c r="X117" i="22"/>
  <c r="AN117" i="22" s="1"/>
  <c r="BD117" i="22" s="1"/>
  <c r="Z117" i="22"/>
  <c r="AP117" i="22" s="1"/>
  <c r="AA117" i="22"/>
  <c r="AQ117" i="22" s="1"/>
  <c r="BG117" i="22" s="1"/>
  <c r="BW117" i="22" s="1"/>
  <c r="CM117" i="22" s="1"/>
  <c r="DC117" i="22" s="1"/>
  <c r="DS117" i="22" s="1"/>
  <c r="EI117" i="22" s="1"/>
  <c r="AB117" i="22"/>
  <c r="Z118" i="22"/>
  <c r="AP118" i="22" s="1"/>
  <c r="AA118" i="22"/>
  <c r="AQ118" i="22" s="1"/>
  <c r="BG118" i="22" s="1"/>
  <c r="BW118" i="22" s="1"/>
  <c r="CM118" i="22" s="1"/>
  <c r="DC118" i="22" s="1"/>
  <c r="DS118" i="22" s="1"/>
  <c r="EI118" i="22" s="1"/>
  <c r="AB118" i="22"/>
  <c r="X123" i="22"/>
  <c r="AN123" i="22" s="1"/>
  <c r="Z123" i="22"/>
  <c r="AA123" i="22"/>
  <c r="AB123" i="22"/>
  <c r="AR123" i="22" s="1"/>
  <c r="W124" i="22"/>
  <c r="AM124" i="22" s="1"/>
  <c r="BC124" i="22" s="1"/>
  <c r="BS124" i="22" s="1"/>
  <c r="CI124" i="22" s="1"/>
  <c r="CY124" i="22" s="1"/>
  <c r="DO124" i="22" s="1"/>
  <c r="EE124" i="22" s="1"/>
  <c r="X124" i="22"/>
  <c r="AN124" i="22" s="1"/>
  <c r="BD124" i="22" s="1"/>
  <c r="BT124" i="22" s="1"/>
  <c r="CJ124" i="22" s="1"/>
  <c r="CZ124" i="22" s="1"/>
  <c r="DP124" i="22" s="1"/>
  <c r="EF124" i="22" s="1"/>
  <c r="Z124" i="22"/>
  <c r="AA124" i="22"/>
  <c r="AQ124" i="22" s="1"/>
  <c r="BG124" i="22" s="1"/>
  <c r="BW124" i="22" s="1"/>
  <c r="CM124" i="22" s="1"/>
  <c r="DC124" i="22" s="1"/>
  <c r="DS124" i="22" s="1"/>
  <c r="EI124" i="22" s="1"/>
  <c r="AB124" i="22"/>
  <c r="AR124" i="22" s="1"/>
  <c r="BH124" i="22" s="1"/>
  <c r="BX124" i="22" s="1"/>
  <c r="CN124" i="22" s="1"/>
  <c r="DD124" i="22" s="1"/>
  <c r="DT124" i="22" s="1"/>
  <c r="EJ124" i="22" s="1"/>
  <c r="V130" i="22"/>
  <c r="W130" i="22"/>
  <c r="AM130" i="22" s="1"/>
  <c r="X130" i="22"/>
  <c r="AN130" i="22" s="1"/>
  <c r="Z130" i="22"/>
  <c r="AA130" i="22"/>
  <c r="AQ130" i="22" s="1"/>
  <c r="AB130" i="22"/>
  <c r="W131" i="22"/>
  <c r="AM131" i="22" s="1"/>
  <c r="BC131" i="22" s="1"/>
  <c r="BS131" i="22" s="1"/>
  <c r="CI131" i="22" s="1"/>
  <c r="CY131" i="22" s="1"/>
  <c r="DO131" i="22" s="1"/>
  <c r="EE131" i="22" s="1"/>
  <c r="X131" i="22"/>
  <c r="AN131" i="22" s="1"/>
  <c r="BD131" i="22" s="1"/>
  <c r="BT131" i="22" s="1"/>
  <c r="CJ131" i="22" s="1"/>
  <c r="CZ131" i="22" s="1"/>
  <c r="DP131" i="22" s="1"/>
  <c r="EF131" i="22" s="1"/>
  <c r="Z131" i="22"/>
  <c r="AA131" i="22"/>
  <c r="AQ131" i="22" s="1"/>
  <c r="BG131" i="22" s="1"/>
  <c r="BW131" i="22" s="1"/>
  <c r="CM131" i="22" s="1"/>
  <c r="DC131" i="22" s="1"/>
  <c r="DS131" i="22" s="1"/>
  <c r="EI131" i="22" s="1"/>
  <c r="AB131" i="22"/>
  <c r="AR131" i="22" s="1"/>
  <c r="BH131" i="22" s="1"/>
  <c r="BX131" i="22" s="1"/>
  <c r="CN131" i="22" s="1"/>
  <c r="DD131" i="22" s="1"/>
  <c r="DT131" i="22" s="1"/>
  <c r="V132" i="22"/>
  <c r="AL132" i="22" s="1"/>
  <c r="W132" i="22"/>
  <c r="AM132" i="22" s="1"/>
  <c r="BC132" i="22" s="1"/>
  <c r="BS132" i="22" s="1"/>
  <c r="CI132" i="22" s="1"/>
  <c r="CY132" i="22" s="1"/>
  <c r="DO132" i="22" s="1"/>
  <c r="X132" i="22"/>
  <c r="AN132" i="22" s="1"/>
  <c r="BD132" i="22" s="1"/>
  <c r="BT132" i="22" s="1"/>
  <c r="CJ132" i="22" s="1"/>
  <c r="CZ132" i="22" s="1"/>
  <c r="DP132" i="22" s="1"/>
  <c r="Z132" i="22"/>
  <c r="AA132" i="22"/>
  <c r="AQ132" i="22" s="1"/>
  <c r="BG132" i="22" s="1"/>
  <c r="BW132" i="22" s="1"/>
  <c r="CM132" i="22" s="1"/>
  <c r="DC132" i="22" s="1"/>
  <c r="DS132" i="22" s="1"/>
  <c r="AB132" i="22"/>
  <c r="AR132" i="22" s="1"/>
  <c r="BH132" i="22" s="1"/>
  <c r="BX132" i="22" s="1"/>
  <c r="CN132" i="22" s="1"/>
  <c r="DD132" i="22" s="1"/>
  <c r="DT132" i="22" s="1"/>
  <c r="V133" i="22"/>
  <c r="AL133" i="22" s="1"/>
  <c r="BB133" i="22" s="1"/>
  <c r="W133" i="22"/>
  <c r="AM133" i="22" s="1"/>
  <c r="BC133" i="22" s="1"/>
  <c r="BS133" i="22" s="1"/>
  <c r="CI133" i="22" s="1"/>
  <c r="CY133" i="22" s="1"/>
  <c r="DO133" i="22" s="1"/>
  <c r="EE133" i="22" s="1"/>
  <c r="X133" i="22"/>
  <c r="AN133" i="22" s="1"/>
  <c r="Z133" i="22"/>
  <c r="AA133" i="22"/>
  <c r="AQ133" i="22" s="1"/>
  <c r="BG133" i="22" s="1"/>
  <c r="BW133" i="22" s="1"/>
  <c r="CM133" i="22" s="1"/>
  <c r="DC133" i="22" s="1"/>
  <c r="DS133" i="22" s="1"/>
  <c r="EI133" i="22" s="1"/>
  <c r="AB133" i="22"/>
  <c r="AR133" i="22" s="1"/>
  <c r="V134" i="22"/>
  <c r="AL134" i="22" s="1"/>
  <c r="W134" i="22"/>
  <c r="AM134" i="22" s="1"/>
  <c r="BC134" i="22" s="1"/>
  <c r="BS134" i="22" s="1"/>
  <c r="CI134" i="22" s="1"/>
  <c r="CY134" i="22" s="1"/>
  <c r="DO134" i="22" s="1"/>
  <c r="EE134" i="22" s="1"/>
  <c r="X134" i="22"/>
  <c r="AN134" i="22" s="1"/>
  <c r="BD134" i="22" s="1"/>
  <c r="BT134" i="22" s="1"/>
  <c r="CJ134" i="22" s="1"/>
  <c r="CZ134" i="22" s="1"/>
  <c r="DP134" i="22" s="1"/>
  <c r="EF134" i="22" s="1"/>
  <c r="Z134" i="22"/>
  <c r="AA134" i="22"/>
  <c r="AQ134" i="22" s="1"/>
  <c r="BG134" i="22" s="1"/>
  <c r="BW134" i="22" s="1"/>
  <c r="CM134" i="22" s="1"/>
  <c r="DC134" i="22" s="1"/>
  <c r="DS134" i="22" s="1"/>
  <c r="EI134" i="22" s="1"/>
  <c r="AB134" i="22"/>
  <c r="AR134" i="22" s="1"/>
  <c r="BH134" i="22" s="1"/>
  <c r="BX134" i="22" s="1"/>
  <c r="CN134" i="22" s="1"/>
  <c r="DD134" i="22" s="1"/>
  <c r="V135" i="22"/>
  <c r="AL135" i="22" s="1"/>
  <c r="W135" i="22"/>
  <c r="AM135" i="22" s="1"/>
  <c r="BC135" i="22" s="1"/>
  <c r="BS135" i="22" s="1"/>
  <c r="CI135" i="22" s="1"/>
  <c r="CY135" i="22" s="1"/>
  <c r="DO135" i="22" s="1"/>
  <c r="EE135" i="22" s="1"/>
  <c r="X135" i="22"/>
  <c r="AN135" i="22" s="1"/>
  <c r="BD135" i="22" s="1"/>
  <c r="BT135" i="22" s="1"/>
  <c r="CJ135" i="22" s="1"/>
  <c r="CZ135" i="22" s="1"/>
  <c r="DP135" i="22" s="1"/>
  <c r="EF135" i="22" s="1"/>
  <c r="Z135" i="22"/>
  <c r="AA135" i="22"/>
  <c r="AQ135" i="22" s="1"/>
  <c r="BG135" i="22" s="1"/>
  <c r="BW135" i="22" s="1"/>
  <c r="CM135" i="22" s="1"/>
  <c r="DC135" i="22" s="1"/>
  <c r="DS135" i="22" s="1"/>
  <c r="EI135" i="22" s="1"/>
  <c r="AB135" i="22"/>
  <c r="AR135" i="22" s="1"/>
  <c r="BH135" i="22" s="1"/>
  <c r="BX135" i="22" s="1"/>
  <c r="CN135" i="22" s="1"/>
  <c r="DD135" i="22" s="1"/>
  <c r="DT135" i="22" s="1"/>
  <c r="X136" i="22"/>
  <c r="AN136" i="22" s="1"/>
  <c r="BD136" i="22" s="1"/>
  <c r="Z136" i="22"/>
  <c r="AA136" i="22"/>
  <c r="AQ136" i="22" s="1"/>
  <c r="BG136" i="22" s="1"/>
  <c r="BW136" i="22" s="1"/>
  <c r="CM136" i="22" s="1"/>
  <c r="DC136" i="22" s="1"/>
  <c r="DS136" i="22" s="1"/>
  <c r="EI136" i="22" s="1"/>
  <c r="AB136" i="22"/>
  <c r="AR136" i="22" s="1"/>
  <c r="BH136" i="22" s="1"/>
  <c r="W137" i="22"/>
  <c r="AM137" i="22" s="1"/>
  <c r="BC137" i="22" s="1"/>
  <c r="BS137" i="22" s="1"/>
  <c r="CI137" i="22" s="1"/>
  <c r="CY137" i="22" s="1"/>
  <c r="DO137" i="22" s="1"/>
  <c r="EE137" i="22" s="1"/>
  <c r="Z137" i="22"/>
  <c r="AA137" i="22"/>
  <c r="AQ137" i="22" s="1"/>
  <c r="BG137" i="22" s="1"/>
  <c r="BW137" i="22" s="1"/>
  <c r="CM137" i="22" s="1"/>
  <c r="DC137" i="22" s="1"/>
  <c r="DS137" i="22" s="1"/>
  <c r="EI137" i="22" s="1"/>
  <c r="AB137" i="22"/>
  <c r="AR137" i="22" s="1"/>
  <c r="V138" i="22"/>
  <c r="AL138" i="22" s="1"/>
  <c r="W138" i="22"/>
  <c r="AM138" i="22" s="1"/>
  <c r="BC138" i="22" s="1"/>
  <c r="BS138" i="22" s="1"/>
  <c r="CI138" i="22" s="1"/>
  <c r="CY138" i="22" s="1"/>
  <c r="DO138" i="22" s="1"/>
  <c r="EE138" i="22" s="1"/>
  <c r="X138" i="22"/>
  <c r="AN138" i="22" s="1"/>
  <c r="BD138" i="22" s="1"/>
  <c r="BT138" i="22" s="1"/>
  <c r="CJ138" i="22" s="1"/>
  <c r="CZ138" i="22" s="1"/>
  <c r="DP138" i="22" s="1"/>
  <c r="EF138" i="22" s="1"/>
  <c r="Z138" i="22"/>
  <c r="AA138" i="22"/>
  <c r="AQ138" i="22" s="1"/>
  <c r="BG138" i="22" s="1"/>
  <c r="BW138" i="22" s="1"/>
  <c r="CM138" i="22" s="1"/>
  <c r="DC138" i="22" s="1"/>
  <c r="DS138" i="22" s="1"/>
  <c r="EI138" i="22" s="1"/>
  <c r="AB138" i="22"/>
  <c r="AR138" i="22" s="1"/>
  <c r="BH138" i="22" s="1"/>
  <c r="X143" i="22"/>
  <c r="AN143" i="22" s="1"/>
  <c r="BD143" i="22" s="1"/>
  <c r="BT143" i="22" s="1"/>
  <c r="CJ143" i="22" s="1"/>
  <c r="CZ143" i="22" s="1"/>
  <c r="DP143" i="22" s="1"/>
  <c r="EF143" i="22" s="1"/>
  <c r="Z143" i="22"/>
  <c r="AP143" i="22" s="1"/>
  <c r="AA143" i="22"/>
  <c r="AQ143" i="22" s="1"/>
  <c r="BG143" i="22" s="1"/>
  <c r="BW143" i="22" s="1"/>
  <c r="CM143" i="22" s="1"/>
  <c r="DC143" i="22" s="1"/>
  <c r="AB143" i="22"/>
  <c r="AR143" i="22" s="1"/>
  <c r="BH143" i="22" s="1"/>
  <c r="BX143" i="22" s="1"/>
  <c r="CN143" i="22" s="1"/>
  <c r="DD143" i="22" s="1"/>
  <c r="DT143" i="22" s="1"/>
  <c r="W144" i="22"/>
  <c r="AM144" i="22" s="1"/>
  <c r="BC144" i="22" s="1"/>
  <c r="X144" i="22"/>
  <c r="AN144" i="22" s="1"/>
  <c r="BD144" i="22" s="1"/>
  <c r="Z144" i="22"/>
  <c r="AP144" i="22" s="1"/>
  <c r="BF144" i="22" s="1"/>
  <c r="AA144" i="22"/>
  <c r="AQ144" i="22" s="1"/>
  <c r="BG144" i="22" s="1"/>
  <c r="AB144" i="22"/>
  <c r="V146" i="22"/>
  <c r="W146" i="22"/>
  <c r="AM146" i="22" s="1"/>
  <c r="BC146" i="22" s="1"/>
  <c r="BS146" i="22" s="1"/>
  <c r="CI146" i="22" s="1"/>
  <c r="CY146" i="22" s="1"/>
  <c r="DO146" i="22" s="1"/>
  <c r="EE146" i="22" s="1"/>
  <c r="X146" i="22"/>
  <c r="AN146" i="22" s="1"/>
  <c r="BD146" i="22" s="1"/>
  <c r="BT146" i="22" s="1"/>
  <c r="CJ146" i="22" s="1"/>
  <c r="CZ146" i="22" s="1"/>
  <c r="Z146" i="22"/>
  <c r="AP146" i="22" s="1"/>
  <c r="BF146" i="22" s="1"/>
  <c r="AA146" i="22"/>
  <c r="AQ146" i="22" s="1"/>
  <c r="BG146" i="22" s="1"/>
  <c r="BW146" i="22" s="1"/>
  <c r="CM146" i="22" s="1"/>
  <c r="DC146" i="22" s="1"/>
  <c r="DS146" i="22" s="1"/>
  <c r="EI146" i="22" s="1"/>
  <c r="AB146" i="22"/>
  <c r="V147" i="22"/>
  <c r="W147" i="22"/>
  <c r="AM147" i="22" s="1"/>
  <c r="BC147" i="22" s="1"/>
  <c r="BS147" i="22" s="1"/>
  <c r="CI147" i="22" s="1"/>
  <c r="CY147" i="22" s="1"/>
  <c r="DO147" i="22" s="1"/>
  <c r="EE147" i="22" s="1"/>
  <c r="X147" i="22"/>
  <c r="AN147" i="22" s="1"/>
  <c r="BD147" i="22" s="1"/>
  <c r="BT147" i="22" s="1"/>
  <c r="CJ147" i="22" s="1"/>
  <c r="CZ147" i="22" s="1"/>
  <c r="DP147" i="22" s="1"/>
  <c r="EF147" i="22" s="1"/>
  <c r="Z147" i="22"/>
  <c r="AP147" i="22" s="1"/>
  <c r="BF147" i="22" s="1"/>
  <c r="AA147" i="22"/>
  <c r="AQ147" i="22" s="1"/>
  <c r="BG147" i="22" s="1"/>
  <c r="BW147" i="22" s="1"/>
  <c r="CM147" i="22" s="1"/>
  <c r="DC147" i="22" s="1"/>
  <c r="DS147" i="22" s="1"/>
  <c r="EI147" i="22" s="1"/>
  <c r="AB147" i="22"/>
  <c r="V148" i="22"/>
  <c r="W148" i="22"/>
  <c r="AM148" i="22" s="1"/>
  <c r="BC148" i="22" s="1"/>
  <c r="BS148" i="22" s="1"/>
  <c r="CI148" i="22" s="1"/>
  <c r="CY148" i="22" s="1"/>
  <c r="DO148" i="22" s="1"/>
  <c r="EE148" i="22" s="1"/>
  <c r="X148" i="22"/>
  <c r="AN148" i="22" s="1"/>
  <c r="BD148" i="22" s="1"/>
  <c r="Z148" i="22"/>
  <c r="AP148" i="22" s="1"/>
  <c r="BF148" i="22" s="1"/>
  <c r="BV148" i="22" s="1"/>
  <c r="CL148" i="22" s="1"/>
  <c r="DB148" i="22" s="1"/>
  <c r="AA148" i="22"/>
  <c r="AQ148" i="22" s="1"/>
  <c r="BG148" i="22" s="1"/>
  <c r="BW148" i="22" s="1"/>
  <c r="CM148" i="22" s="1"/>
  <c r="DC148" i="22" s="1"/>
  <c r="DS148" i="22" s="1"/>
  <c r="EI148" i="22" s="1"/>
  <c r="AB148" i="22"/>
  <c r="W149" i="22"/>
  <c r="AM149" i="22" s="1"/>
  <c r="BC149" i="22" s="1"/>
  <c r="BS149" i="22" s="1"/>
  <c r="CI149" i="22" s="1"/>
  <c r="CY149" i="22" s="1"/>
  <c r="DO149" i="22" s="1"/>
  <c r="EE149" i="22" s="1"/>
  <c r="X149" i="22"/>
  <c r="AN149" i="22" s="1"/>
  <c r="BD149" i="22" s="1"/>
  <c r="BT149" i="22" s="1"/>
  <c r="CJ149" i="22" s="1"/>
  <c r="CZ149" i="22" s="1"/>
  <c r="DP149" i="22" s="1"/>
  <c r="EF149" i="22" s="1"/>
  <c r="Z149" i="22"/>
  <c r="AP149" i="22" s="1"/>
  <c r="AA149" i="22"/>
  <c r="AQ149" i="22" s="1"/>
  <c r="BG149" i="22" s="1"/>
  <c r="BW149" i="22" s="1"/>
  <c r="CM149" i="22" s="1"/>
  <c r="DC149" i="22" s="1"/>
  <c r="DS149" i="22" s="1"/>
  <c r="EI149" i="22" s="1"/>
  <c r="AB149" i="22"/>
  <c r="W154" i="22"/>
  <c r="AM154" i="22" s="1"/>
  <c r="BC154" i="22" s="1"/>
  <c r="BS154" i="22" s="1"/>
  <c r="CI154" i="22" s="1"/>
  <c r="CY154" i="22" s="1"/>
  <c r="DO154" i="22" s="1"/>
  <c r="X154" i="22"/>
  <c r="AN154" i="22" s="1"/>
  <c r="BD154" i="22" s="1"/>
  <c r="BT154" i="22" s="1"/>
  <c r="CJ154" i="22" s="1"/>
  <c r="CZ154" i="22" s="1"/>
  <c r="DP154" i="22" s="1"/>
  <c r="EF154" i="22" s="1"/>
  <c r="Z154" i="22"/>
  <c r="AA154" i="22"/>
  <c r="AQ154" i="22" s="1"/>
  <c r="BG154" i="22" s="1"/>
  <c r="BW154" i="22" s="1"/>
  <c r="CM154" i="22" s="1"/>
  <c r="DC154" i="22" s="1"/>
  <c r="DS154" i="22" s="1"/>
  <c r="AB154" i="22"/>
  <c r="W159" i="22"/>
  <c r="AM159" i="22" s="1"/>
  <c r="BC159" i="22" s="1"/>
  <c r="BS159" i="22" s="1"/>
  <c r="CI159" i="22" s="1"/>
  <c r="CY159" i="22" s="1"/>
  <c r="DO159" i="22" s="1"/>
  <c r="X159" i="22"/>
  <c r="AN159" i="22" s="1"/>
  <c r="BD159" i="22" s="1"/>
  <c r="BT159" i="22" s="1"/>
  <c r="CJ159" i="22" s="1"/>
  <c r="CZ159" i="22" s="1"/>
  <c r="DP159" i="22" s="1"/>
  <c r="EF159" i="22" s="1"/>
  <c r="Z159" i="22"/>
  <c r="AA159" i="22"/>
  <c r="AQ159" i="22" s="1"/>
  <c r="BG159" i="22" s="1"/>
  <c r="BW159" i="22" s="1"/>
  <c r="CM159" i="22" s="1"/>
  <c r="DC159" i="22" s="1"/>
  <c r="DS159" i="22" s="1"/>
  <c r="EI159" i="22" s="1"/>
  <c r="AB159" i="22"/>
  <c r="V160" i="22"/>
  <c r="W160" i="22"/>
  <c r="AM160" i="22" s="1"/>
  <c r="BC160" i="22" s="1"/>
  <c r="BS160" i="22" s="1"/>
  <c r="CI160" i="22" s="1"/>
  <c r="CY160" i="22" s="1"/>
  <c r="DO160" i="22" s="1"/>
  <c r="EE160" i="22" s="1"/>
  <c r="X160" i="22"/>
  <c r="AN160" i="22" s="1"/>
  <c r="BD160" i="22" s="1"/>
  <c r="Z160" i="22"/>
  <c r="AP160" i="22" s="1"/>
  <c r="AA160" i="22"/>
  <c r="AQ160" i="22" s="1"/>
  <c r="BG160" i="22" s="1"/>
  <c r="BW160" i="22" s="1"/>
  <c r="CM160" i="22" s="1"/>
  <c r="DC160" i="22" s="1"/>
  <c r="DS160" i="22" s="1"/>
  <c r="EI160" i="22" s="1"/>
  <c r="AB160" i="22"/>
  <c r="W161" i="22"/>
  <c r="AM161" i="22" s="1"/>
  <c r="BC161" i="22" s="1"/>
  <c r="BS161" i="22" s="1"/>
  <c r="CI161" i="22" s="1"/>
  <c r="CY161" i="22" s="1"/>
  <c r="DO161" i="22" s="1"/>
  <c r="Z161" i="22"/>
  <c r="AP161" i="22" s="1"/>
  <c r="AA161" i="22"/>
  <c r="AQ161" i="22" s="1"/>
  <c r="BG161" i="22" s="1"/>
  <c r="BW161" i="22" s="1"/>
  <c r="CM161" i="22" s="1"/>
  <c r="DC161" i="22" s="1"/>
  <c r="DS161" i="22" s="1"/>
  <c r="AB161" i="22"/>
  <c r="X166" i="22"/>
  <c r="AN166" i="22" s="1"/>
  <c r="BD166" i="22" s="1"/>
  <c r="BT166" i="22" s="1"/>
  <c r="Z166" i="22"/>
  <c r="AA166" i="22"/>
  <c r="AQ166" i="22" s="1"/>
  <c r="BG166" i="22" s="1"/>
  <c r="AB166" i="22"/>
  <c r="AR166" i="22" s="1"/>
  <c r="BH166" i="22" s="1"/>
  <c r="BX166" i="22" s="1"/>
  <c r="CN166" i="22" s="1"/>
  <c r="V167" i="22"/>
  <c r="W167" i="22"/>
  <c r="AM167" i="22" s="1"/>
  <c r="BC167" i="22" s="1"/>
  <c r="BS167" i="22" s="1"/>
  <c r="CI167" i="22" s="1"/>
  <c r="CY167" i="22" s="1"/>
  <c r="DO167" i="22" s="1"/>
  <c r="EE167" i="22" s="1"/>
  <c r="X167" i="22"/>
  <c r="AN167" i="22" s="1"/>
  <c r="BD167" i="22" s="1"/>
  <c r="BT167" i="22" s="1"/>
  <c r="CJ167" i="22" s="1"/>
  <c r="CZ167" i="22" s="1"/>
  <c r="DP167" i="22" s="1"/>
  <c r="EF167" i="22" s="1"/>
  <c r="Z167" i="22"/>
  <c r="AA167" i="22"/>
  <c r="AQ167" i="22" s="1"/>
  <c r="BG167" i="22" s="1"/>
  <c r="BW167" i="22" s="1"/>
  <c r="CM167" i="22" s="1"/>
  <c r="DC167" i="22" s="1"/>
  <c r="DS167" i="22" s="1"/>
  <c r="EI167" i="22" s="1"/>
  <c r="AB167" i="22"/>
  <c r="AR167" i="22" s="1"/>
  <c r="BH167" i="22" s="1"/>
  <c r="BX167" i="22" s="1"/>
  <c r="CN167" i="22" s="1"/>
  <c r="DD167" i="22" s="1"/>
  <c r="DT167" i="22" s="1"/>
  <c r="EJ167" i="22" s="1"/>
  <c r="W168" i="22"/>
  <c r="AM168" i="22" s="1"/>
  <c r="BC168" i="22" s="1"/>
  <c r="BS168" i="22" s="1"/>
  <c r="CI168" i="22" s="1"/>
  <c r="CY168" i="22" s="1"/>
  <c r="DO168" i="22" s="1"/>
  <c r="EE168" i="22" s="1"/>
  <c r="X168" i="22"/>
  <c r="AN168" i="22" s="1"/>
  <c r="BD168" i="22" s="1"/>
  <c r="BT168" i="22" s="1"/>
  <c r="CJ168" i="22" s="1"/>
  <c r="CZ168" i="22" s="1"/>
  <c r="DP168" i="22" s="1"/>
  <c r="Z168" i="22"/>
  <c r="AA168" i="22"/>
  <c r="AQ168" i="22" s="1"/>
  <c r="BG168" i="22" s="1"/>
  <c r="BW168" i="22" s="1"/>
  <c r="CM168" i="22" s="1"/>
  <c r="DC168" i="22" s="1"/>
  <c r="DS168" i="22" s="1"/>
  <c r="EI168" i="22" s="1"/>
  <c r="AB168" i="22"/>
  <c r="AR168" i="22" s="1"/>
  <c r="BH168" i="22" s="1"/>
  <c r="BX168" i="22" s="1"/>
  <c r="CN168" i="22" s="1"/>
  <c r="DD168" i="22" s="1"/>
  <c r="DT168" i="22" s="1"/>
  <c r="W169" i="22"/>
  <c r="AM169" i="22" s="1"/>
  <c r="BC169" i="22" s="1"/>
  <c r="BS169" i="22" s="1"/>
  <c r="CI169" i="22" s="1"/>
  <c r="CY169" i="22" s="1"/>
  <c r="DO169" i="22" s="1"/>
  <c r="EE169" i="22" s="1"/>
  <c r="Z169" i="22"/>
  <c r="AA169" i="22"/>
  <c r="AQ169" i="22" s="1"/>
  <c r="BG169" i="22" s="1"/>
  <c r="BW169" i="22" s="1"/>
  <c r="CM169" i="22" s="1"/>
  <c r="DC169" i="22" s="1"/>
  <c r="DS169" i="22" s="1"/>
  <c r="EI169" i="22" s="1"/>
  <c r="W174" i="22"/>
  <c r="AM174" i="22" s="1"/>
  <c r="BC174" i="22" s="1"/>
  <c r="BS174" i="22" s="1"/>
  <c r="CI174" i="22" s="1"/>
  <c r="CY174" i="22" s="1"/>
  <c r="X174" i="22"/>
  <c r="AN174" i="22" s="1"/>
  <c r="BD174" i="22" s="1"/>
  <c r="BT174" i="22" s="1"/>
  <c r="CJ174" i="22" s="1"/>
  <c r="CZ174" i="22" s="1"/>
  <c r="Z174" i="22"/>
  <c r="AP174" i="22" s="1"/>
  <c r="AA174" i="22"/>
  <c r="AQ174" i="22" s="1"/>
  <c r="BG174" i="22" s="1"/>
  <c r="BW174" i="22" s="1"/>
  <c r="CM174" i="22" s="1"/>
  <c r="DC174" i="22" s="1"/>
  <c r="DS174" i="22" s="1"/>
  <c r="AB174" i="22"/>
  <c r="V175" i="22"/>
  <c r="AL175" i="22" s="1"/>
  <c r="W175" i="22"/>
  <c r="AM175" i="22" s="1"/>
  <c r="BC175" i="22" s="1"/>
  <c r="BS175" i="22" s="1"/>
  <c r="CI175" i="22" s="1"/>
  <c r="CY175" i="22" s="1"/>
  <c r="DO175" i="22" s="1"/>
  <c r="EE175" i="22" s="1"/>
  <c r="X175" i="22"/>
  <c r="AN175" i="22" s="1"/>
  <c r="BD175" i="22" s="1"/>
  <c r="BT175" i="22" s="1"/>
  <c r="CJ175" i="22" s="1"/>
  <c r="Z175" i="22"/>
  <c r="AP175" i="22" s="1"/>
  <c r="AA175" i="22"/>
  <c r="AQ175" i="22" s="1"/>
  <c r="BG175" i="22" s="1"/>
  <c r="BW175" i="22" s="1"/>
  <c r="CM175" i="22" s="1"/>
  <c r="DC175" i="22" s="1"/>
  <c r="DS175" i="22" s="1"/>
  <c r="EI175" i="22" s="1"/>
  <c r="AB175" i="22"/>
  <c r="W176" i="22"/>
  <c r="AM176" i="22" s="1"/>
  <c r="BC176" i="22" s="1"/>
  <c r="BS176" i="22" s="1"/>
  <c r="CI176" i="22" s="1"/>
  <c r="CY176" i="22" s="1"/>
  <c r="DO176" i="22" s="1"/>
  <c r="EE176" i="22" s="1"/>
  <c r="X176" i="22"/>
  <c r="AN176" i="22" s="1"/>
  <c r="BD176" i="22" s="1"/>
  <c r="BT176" i="22" s="1"/>
  <c r="CJ176" i="22" s="1"/>
  <c r="CZ176" i="22" s="1"/>
  <c r="Z176" i="22"/>
  <c r="AP176" i="22" s="1"/>
  <c r="AA176" i="22"/>
  <c r="AQ176" i="22" s="1"/>
  <c r="BG176" i="22" s="1"/>
  <c r="BW176" i="22" s="1"/>
  <c r="CM176" i="22" s="1"/>
  <c r="DC176" i="22" s="1"/>
  <c r="DS176" i="22" s="1"/>
  <c r="EI176" i="22" s="1"/>
  <c r="AB176" i="22"/>
  <c r="AR176" i="22" s="1"/>
  <c r="BH176" i="22" s="1"/>
  <c r="AB179" i="22"/>
  <c r="AB177" i="22" s="1"/>
  <c r="AA179" i="22"/>
  <c r="AQ179" i="22" s="1"/>
  <c r="Z179" i="22"/>
  <c r="AP179" i="22" s="1"/>
  <c r="X179" i="22"/>
  <c r="AN179" i="22" s="1"/>
  <c r="W179" i="22"/>
  <c r="AM179" i="22" s="1"/>
  <c r="V179" i="22"/>
  <c r="AL179" i="22" s="1"/>
  <c r="AB173" i="22"/>
  <c r="AR173" i="22" s="1"/>
  <c r="AA173" i="22"/>
  <c r="AQ173" i="22" s="1"/>
  <c r="Z173" i="22"/>
  <c r="AP173" i="22" s="1"/>
  <c r="X173" i="22"/>
  <c r="AN173" i="22" s="1"/>
  <c r="AB165" i="22"/>
  <c r="AR165" i="22" s="1"/>
  <c r="AA165" i="22"/>
  <c r="AQ165" i="22" s="1"/>
  <c r="Z165" i="22"/>
  <c r="AP165" i="22" s="1"/>
  <c r="BF165" i="22" s="1"/>
  <c r="X165" i="22"/>
  <c r="AN165" i="22" s="1"/>
  <c r="AB158" i="22"/>
  <c r="AR158" i="22" s="1"/>
  <c r="AA158" i="22"/>
  <c r="AQ158" i="22" s="1"/>
  <c r="Z158" i="22"/>
  <c r="AP158" i="22" s="1"/>
  <c r="X158" i="22"/>
  <c r="AN158" i="22" s="1"/>
  <c r="AB153" i="22"/>
  <c r="AR153" i="22" s="1"/>
  <c r="AA153" i="22"/>
  <c r="AQ153" i="22" s="1"/>
  <c r="Z153" i="22"/>
  <c r="AP153" i="22" s="1"/>
  <c r="X153" i="22"/>
  <c r="AN153" i="22" s="1"/>
  <c r="AB142" i="22"/>
  <c r="AR142" i="22" s="1"/>
  <c r="BH142" i="22" s="1"/>
  <c r="BX142" i="22" s="1"/>
  <c r="CN142" i="22" s="1"/>
  <c r="DD142" i="22" s="1"/>
  <c r="DT142" i="22" s="1"/>
  <c r="EJ142" i="22" s="1"/>
  <c r="AA142" i="22"/>
  <c r="AQ142" i="22" s="1"/>
  <c r="BG142" i="22" s="1"/>
  <c r="BW142" i="22" s="1"/>
  <c r="CM142" i="22" s="1"/>
  <c r="DC142" i="22" s="1"/>
  <c r="DS142" i="22" s="1"/>
  <c r="EI142" i="22" s="1"/>
  <c r="Z142" i="22"/>
  <c r="AP142" i="22" s="1"/>
  <c r="X142" i="22"/>
  <c r="AN142" i="22" s="1"/>
  <c r="BD142" i="22" s="1"/>
  <c r="BT142" i="22" s="1"/>
  <c r="CJ142" i="22" s="1"/>
  <c r="CZ142" i="22" s="1"/>
  <c r="DP142" i="22" s="1"/>
  <c r="W142" i="22"/>
  <c r="AM142" i="22" s="1"/>
  <c r="BC142" i="22" s="1"/>
  <c r="BS142" i="22" s="1"/>
  <c r="CI142" i="22" s="1"/>
  <c r="CY142" i="22" s="1"/>
  <c r="DO142" i="22" s="1"/>
  <c r="AB129" i="22"/>
  <c r="AR129" i="22" s="1"/>
  <c r="BH129" i="22" s="1"/>
  <c r="BX129" i="22" s="1"/>
  <c r="CN129" i="22" s="1"/>
  <c r="DD129" i="22" s="1"/>
  <c r="DT129" i="22" s="1"/>
  <c r="AA129" i="22"/>
  <c r="AQ129" i="22" s="1"/>
  <c r="BG129" i="22" s="1"/>
  <c r="BW129" i="22" s="1"/>
  <c r="CM129" i="22" s="1"/>
  <c r="DC129" i="22" s="1"/>
  <c r="DS129" i="22" s="1"/>
  <c r="Z129" i="22"/>
  <c r="AP129" i="22" s="1"/>
  <c r="X129" i="22"/>
  <c r="AN129" i="22" s="1"/>
  <c r="BD129" i="22" s="1"/>
  <c r="BT129" i="22" s="1"/>
  <c r="CJ129" i="22" s="1"/>
  <c r="CZ129" i="22" s="1"/>
  <c r="DP129" i="22" s="1"/>
  <c r="V129" i="22"/>
  <c r="AL129" i="22" s="1"/>
  <c r="AB122" i="22"/>
  <c r="AR122" i="22" s="1"/>
  <c r="BH122" i="22" s="1"/>
  <c r="BX122" i="22" s="1"/>
  <c r="CN122" i="22" s="1"/>
  <c r="DD122" i="22" s="1"/>
  <c r="DT122" i="22" s="1"/>
  <c r="AA122" i="22"/>
  <c r="AQ122" i="22" s="1"/>
  <c r="BG122" i="22" s="1"/>
  <c r="BW122" i="22" s="1"/>
  <c r="CM122" i="22" s="1"/>
  <c r="DC122" i="22" s="1"/>
  <c r="Z122" i="22"/>
  <c r="AP122" i="22" s="1"/>
  <c r="X122" i="22"/>
  <c r="AN122" i="22" s="1"/>
  <c r="BD122" i="22" s="1"/>
  <c r="BT122" i="22" s="1"/>
  <c r="CJ122" i="22" s="1"/>
  <c r="CZ122" i="22" s="1"/>
  <c r="DP122" i="22" s="1"/>
  <c r="W122" i="22"/>
  <c r="AM122" i="22" s="1"/>
  <c r="BC122" i="22" s="1"/>
  <c r="BS122" i="22" s="1"/>
  <c r="CI122" i="22" s="1"/>
  <c r="CY122" i="22" s="1"/>
  <c r="V122" i="22"/>
  <c r="AL122" i="22" s="1"/>
  <c r="AB112" i="22"/>
  <c r="AR112" i="22" s="1"/>
  <c r="BH112" i="22" s="1"/>
  <c r="BX112" i="22" s="1"/>
  <c r="CN112" i="22" s="1"/>
  <c r="DD112" i="22" s="1"/>
  <c r="AA112" i="22"/>
  <c r="AQ112" i="22" s="1"/>
  <c r="BG112" i="22" s="1"/>
  <c r="BW112" i="22" s="1"/>
  <c r="CM112" i="22" s="1"/>
  <c r="DC112" i="22" s="1"/>
  <c r="Z112" i="22"/>
  <c r="AP112" i="22" s="1"/>
  <c r="X112" i="22"/>
  <c r="AN112" i="22" s="1"/>
  <c r="BD112" i="22" s="1"/>
  <c r="BT112" i="22" s="1"/>
  <c r="CJ112" i="22" s="1"/>
  <c r="CZ112" i="22" s="1"/>
  <c r="AB106" i="22"/>
  <c r="AR106" i="22" s="1"/>
  <c r="BH106" i="22" s="1"/>
  <c r="BX106" i="22" s="1"/>
  <c r="CN106" i="22" s="1"/>
  <c r="DD106" i="22" s="1"/>
  <c r="AA106" i="22"/>
  <c r="AQ106" i="22" s="1"/>
  <c r="BG106" i="22" s="1"/>
  <c r="BW106" i="22" s="1"/>
  <c r="CM106" i="22" s="1"/>
  <c r="DC106" i="22" s="1"/>
  <c r="Z106" i="22"/>
  <c r="AP106" i="22" s="1"/>
  <c r="AB99" i="22"/>
  <c r="AR99" i="22" s="1"/>
  <c r="BH99" i="22" s="1"/>
  <c r="BX99" i="22" s="1"/>
  <c r="CN99" i="22" s="1"/>
  <c r="DD99" i="22" s="1"/>
  <c r="DT99" i="22" s="1"/>
  <c r="EJ99" i="22" s="1"/>
  <c r="AA99" i="22"/>
  <c r="AQ99" i="22" s="1"/>
  <c r="BG99" i="22" s="1"/>
  <c r="BW99" i="22" s="1"/>
  <c r="CM99" i="22" s="1"/>
  <c r="DC99" i="22" s="1"/>
  <c r="DS99" i="22" s="1"/>
  <c r="Z99" i="22"/>
  <c r="AP99" i="22" s="1"/>
  <c r="X99" i="22"/>
  <c r="AN99" i="22" s="1"/>
  <c r="BD99" i="22" s="1"/>
  <c r="BT99" i="22" s="1"/>
  <c r="CJ99" i="22" s="1"/>
  <c r="CZ99" i="22" s="1"/>
  <c r="AB92" i="22"/>
  <c r="AR92" i="22" s="1"/>
  <c r="BH92" i="22" s="1"/>
  <c r="BX92" i="22" s="1"/>
  <c r="CN92" i="22" s="1"/>
  <c r="DD92" i="22" s="1"/>
  <c r="DT92" i="22" s="1"/>
  <c r="AA92" i="22"/>
  <c r="AQ92" i="22" s="1"/>
  <c r="BG92" i="22" s="1"/>
  <c r="BW92" i="22" s="1"/>
  <c r="CM92" i="22" s="1"/>
  <c r="DC92" i="22" s="1"/>
  <c r="DS92" i="22" s="1"/>
  <c r="EI92" i="22" s="1"/>
  <c r="Z92" i="22"/>
  <c r="X92" i="22"/>
  <c r="AN92" i="22" s="1"/>
  <c r="BD92" i="22" s="1"/>
  <c r="BT92" i="22" s="1"/>
  <c r="CJ92" i="22" s="1"/>
  <c r="CZ92" i="22" s="1"/>
  <c r="DP92" i="22" s="1"/>
  <c r="AB86" i="22"/>
  <c r="AR86" i="22" s="1"/>
  <c r="BH86" i="22" s="1"/>
  <c r="BX86" i="22" s="1"/>
  <c r="CN86" i="22" s="1"/>
  <c r="DD86" i="22" s="1"/>
  <c r="DT86" i="22" s="1"/>
  <c r="AA86" i="22"/>
  <c r="AQ86" i="22" s="1"/>
  <c r="BG86" i="22" s="1"/>
  <c r="BW86" i="22" s="1"/>
  <c r="CM86" i="22" s="1"/>
  <c r="DC86" i="22" s="1"/>
  <c r="DS86" i="22" s="1"/>
  <c r="EI86" i="22" s="1"/>
  <c r="Z86" i="22"/>
  <c r="AP86" i="22" s="1"/>
  <c r="X86" i="22"/>
  <c r="AN86" i="22" s="1"/>
  <c r="BD86" i="22" s="1"/>
  <c r="BT86" i="22" s="1"/>
  <c r="CJ86" i="22" s="1"/>
  <c r="CZ86" i="22" s="1"/>
  <c r="DP86" i="22" s="1"/>
  <c r="AB79" i="22"/>
  <c r="AR79" i="22" s="1"/>
  <c r="BH79" i="22" s="1"/>
  <c r="BX79" i="22" s="1"/>
  <c r="CN79" i="22" s="1"/>
  <c r="DD79" i="22" s="1"/>
  <c r="DT79" i="22" s="1"/>
  <c r="AA79" i="22"/>
  <c r="AQ79" i="22" s="1"/>
  <c r="BG79" i="22" s="1"/>
  <c r="BW79" i="22" s="1"/>
  <c r="CM79" i="22" s="1"/>
  <c r="DC79" i="22" s="1"/>
  <c r="DS79" i="22" s="1"/>
  <c r="Z79" i="22"/>
  <c r="X79" i="22"/>
  <c r="AN79" i="22" s="1"/>
  <c r="BD79" i="22" s="1"/>
  <c r="BT79" i="22" s="1"/>
  <c r="CJ79" i="22" s="1"/>
  <c r="CZ79" i="22" s="1"/>
  <c r="DP79" i="22" s="1"/>
  <c r="AB72" i="22"/>
  <c r="AR72" i="22" s="1"/>
  <c r="BH72" i="22" s="1"/>
  <c r="BX72" i="22" s="1"/>
  <c r="CN72" i="22" s="1"/>
  <c r="DD72" i="22" s="1"/>
  <c r="DT72" i="22" s="1"/>
  <c r="AA72" i="22"/>
  <c r="AQ72" i="22" s="1"/>
  <c r="BG72" i="22" s="1"/>
  <c r="BW72" i="22" s="1"/>
  <c r="CM72" i="22" s="1"/>
  <c r="DC72" i="22" s="1"/>
  <c r="DS72" i="22" s="1"/>
  <c r="Z72" i="22"/>
  <c r="AP72" i="22" s="1"/>
  <c r="X72" i="22"/>
  <c r="AN72" i="22" s="1"/>
  <c r="BD72" i="22" s="1"/>
  <c r="BT72" i="22" s="1"/>
  <c r="CJ72" i="22" s="1"/>
  <c r="CZ72" i="22" s="1"/>
  <c r="DP72" i="22" s="1"/>
  <c r="AB66" i="22"/>
  <c r="AR66" i="22" s="1"/>
  <c r="BH66" i="22" s="1"/>
  <c r="BX66" i="22" s="1"/>
  <c r="CN66" i="22" s="1"/>
  <c r="DD66" i="22" s="1"/>
  <c r="DT66" i="22" s="1"/>
  <c r="AA66" i="22"/>
  <c r="AQ66" i="22" s="1"/>
  <c r="BG66" i="22" s="1"/>
  <c r="BW66" i="22" s="1"/>
  <c r="CM66" i="22" s="1"/>
  <c r="DC66" i="22" s="1"/>
  <c r="DS66" i="22" s="1"/>
  <c r="Z66" i="22"/>
  <c r="AP66" i="22" s="1"/>
  <c r="X66" i="22"/>
  <c r="AN66" i="22" s="1"/>
  <c r="BD66" i="22" s="1"/>
  <c r="BT66" i="22" s="1"/>
  <c r="CJ66" i="22" s="1"/>
  <c r="CZ66" i="22" s="1"/>
  <c r="DP66" i="22" s="1"/>
  <c r="AB59" i="22"/>
  <c r="AR59" i="22" s="1"/>
  <c r="BH59" i="22" s="1"/>
  <c r="BX59" i="22" s="1"/>
  <c r="CN59" i="22" s="1"/>
  <c r="DD59" i="22" s="1"/>
  <c r="DT59" i="22" s="1"/>
  <c r="AA59" i="22"/>
  <c r="AQ59" i="22" s="1"/>
  <c r="BG59" i="22" s="1"/>
  <c r="BW59" i="22" s="1"/>
  <c r="CM59" i="22" s="1"/>
  <c r="DC59" i="22" s="1"/>
  <c r="DS59" i="22" s="1"/>
  <c r="Z59" i="22"/>
  <c r="AP59" i="22" s="1"/>
  <c r="X59" i="22"/>
  <c r="AN59" i="22" s="1"/>
  <c r="BD59" i="22" s="1"/>
  <c r="BT59" i="22" s="1"/>
  <c r="CJ59" i="22" s="1"/>
  <c r="CZ59" i="22" s="1"/>
  <c r="DP59" i="22" s="1"/>
  <c r="W59" i="22"/>
  <c r="AM59" i="22" s="1"/>
  <c r="BC59" i="22" s="1"/>
  <c r="BS59" i="22" s="1"/>
  <c r="CI59" i="22" s="1"/>
  <c r="CY59" i="22" s="1"/>
  <c r="DO59" i="22" s="1"/>
  <c r="AB53" i="22"/>
  <c r="AR53" i="22" s="1"/>
  <c r="BH53" i="22" s="1"/>
  <c r="BX53" i="22" s="1"/>
  <c r="CN53" i="22" s="1"/>
  <c r="DD53" i="22" s="1"/>
  <c r="DT53" i="22" s="1"/>
  <c r="AA53" i="22"/>
  <c r="AQ53" i="22" s="1"/>
  <c r="BG53" i="22" s="1"/>
  <c r="BW53" i="22" s="1"/>
  <c r="CM53" i="22" s="1"/>
  <c r="DC53" i="22" s="1"/>
  <c r="DS53" i="22" s="1"/>
  <c r="Z53" i="22"/>
  <c r="AP53" i="22" s="1"/>
  <c r="X53" i="22"/>
  <c r="AN53" i="22" s="1"/>
  <c r="BD53" i="22" s="1"/>
  <c r="BT53" i="22" s="1"/>
  <c r="CJ53" i="22" s="1"/>
  <c r="CZ53" i="22" s="1"/>
  <c r="DP53" i="22" s="1"/>
  <c r="AB46" i="22"/>
  <c r="AR46" i="22" s="1"/>
  <c r="BH46" i="22" s="1"/>
  <c r="BX46" i="22" s="1"/>
  <c r="CN46" i="22" s="1"/>
  <c r="DD46" i="22" s="1"/>
  <c r="DT46" i="22" s="1"/>
  <c r="AA46" i="22"/>
  <c r="AQ46" i="22" s="1"/>
  <c r="BG46" i="22" s="1"/>
  <c r="BW46" i="22" s="1"/>
  <c r="CM46" i="22" s="1"/>
  <c r="DC46" i="22" s="1"/>
  <c r="DS46" i="22" s="1"/>
  <c r="Z46" i="22"/>
  <c r="AP46" i="22" s="1"/>
  <c r="X46" i="22"/>
  <c r="AN46" i="22" s="1"/>
  <c r="BD46" i="22" s="1"/>
  <c r="BT46" i="22" s="1"/>
  <c r="CJ46" i="22" s="1"/>
  <c r="CZ46" i="22" s="1"/>
  <c r="DP46" i="22" s="1"/>
  <c r="AB40" i="22"/>
  <c r="AR40" i="22" s="1"/>
  <c r="BH40" i="22" s="1"/>
  <c r="BX40" i="22" s="1"/>
  <c r="CN40" i="22" s="1"/>
  <c r="DD40" i="22" s="1"/>
  <c r="DT40" i="22" s="1"/>
  <c r="AA40" i="22"/>
  <c r="AQ40" i="22" s="1"/>
  <c r="BG40" i="22" s="1"/>
  <c r="BW40" i="22" s="1"/>
  <c r="CM40" i="22" s="1"/>
  <c r="DC40" i="22" s="1"/>
  <c r="DS40" i="22" s="1"/>
  <c r="Z40" i="22"/>
  <c r="AP40" i="22" s="1"/>
  <c r="X40" i="22"/>
  <c r="AN40" i="22" s="1"/>
  <c r="BD40" i="22" s="1"/>
  <c r="BT40" i="22" s="1"/>
  <c r="CJ40" i="22" s="1"/>
  <c r="CZ40" i="22" s="1"/>
  <c r="DP40" i="22" s="1"/>
  <c r="W20" i="22"/>
  <c r="AM20" i="22" s="1"/>
  <c r="BC20" i="22" s="1"/>
  <c r="X20" i="22"/>
  <c r="AN20" i="22" s="1"/>
  <c r="Z20" i="22"/>
  <c r="AP20" i="22" s="1"/>
  <c r="BF20" i="22" s="1"/>
  <c r="AA20" i="22"/>
  <c r="AQ20" i="22" s="1"/>
  <c r="BG20" i="22" s="1"/>
  <c r="AB20" i="22"/>
  <c r="W21" i="22"/>
  <c r="AM21" i="22" s="1"/>
  <c r="BC21" i="22" s="1"/>
  <c r="X21" i="22"/>
  <c r="AN21" i="22" s="1"/>
  <c r="BD21" i="22" s="1"/>
  <c r="Z21" i="22"/>
  <c r="AP21" i="22" s="1"/>
  <c r="BF21" i="22" s="1"/>
  <c r="AA21" i="22"/>
  <c r="AQ21" i="22" s="1"/>
  <c r="BG21" i="22" s="1"/>
  <c r="AB21" i="22"/>
  <c r="Z22" i="22"/>
  <c r="AP22" i="22" s="1"/>
  <c r="AA22" i="22"/>
  <c r="AQ22" i="22" s="1"/>
  <c r="BG22" i="22" s="1"/>
  <c r="AB22" i="22"/>
  <c r="AR22" i="22" s="1"/>
  <c r="BH22" i="22" s="1"/>
  <c r="W23" i="22"/>
  <c r="AM23" i="22" s="1"/>
  <c r="X23" i="22"/>
  <c r="AN23" i="22" s="1"/>
  <c r="BD23" i="22" s="1"/>
  <c r="Z23" i="22"/>
  <c r="AA23" i="22"/>
  <c r="AQ23" i="22" s="1"/>
  <c r="AB23" i="22"/>
  <c r="AR23" i="22" s="1"/>
  <c r="BH23" i="22" s="1"/>
  <c r="W24" i="22"/>
  <c r="AM24" i="22" s="1"/>
  <c r="X24" i="22"/>
  <c r="AN24" i="22" s="1"/>
  <c r="Z24" i="22"/>
  <c r="AP24" i="22" s="1"/>
  <c r="AA24" i="22"/>
  <c r="AQ24" i="22" s="1"/>
  <c r="AB24" i="22"/>
  <c r="AR24" i="22" s="1"/>
  <c r="Z25" i="22"/>
  <c r="AP25" i="22" s="1"/>
  <c r="AA25" i="22"/>
  <c r="AQ25" i="22" s="1"/>
  <c r="BG25" i="22" s="1"/>
  <c r="W26" i="22"/>
  <c r="AM26" i="22" s="1"/>
  <c r="X26" i="22"/>
  <c r="AN26" i="22" s="1"/>
  <c r="Z26" i="22"/>
  <c r="AP26" i="22" s="1"/>
  <c r="BF26" i="22" s="1"/>
  <c r="AA26" i="22"/>
  <c r="AQ26" i="22" s="1"/>
  <c r="AB26" i="22"/>
  <c r="Z27" i="22"/>
  <c r="AP27" i="22" s="1"/>
  <c r="BF27" i="22" s="1"/>
  <c r="AA27" i="22"/>
  <c r="AQ27" i="22" s="1"/>
  <c r="BG27" i="22" s="1"/>
  <c r="BW27" i="22" s="1"/>
  <c r="CM27" i="22" s="1"/>
  <c r="DC27" i="22" s="1"/>
  <c r="DS27" i="22" s="1"/>
  <c r="AB27" i="22"/>
  <c r="AR27" i="22" s="1"/>
  <c r="BH27" i="22" s="1"/>
  <c r="BX27" i="22" s="1"/>
  <c r="CN27" i="22" s="1"/>
  <c r="DD27" i="22" s="1"/>
  <c r="DT27" i="22" s="1"/>
  <c r="AA28" i="22"/>
  <c r="AQ28" i="22" s="1"/>
  <c r="AA31" i="22"/>
  <c r="AQ31" i="22" s="1"/>
  <c r="BG31" i="22" s="1"/>
  <c r="Z33" i="22"/>
  <c r="AP33" i="22" s="1"/>
  <c r="BF33" i="22" s="1"/>
  <c r="AA33" i="22"/>
  <c r="AQ33" i="22" s="1"/>
  <c r="AB33" i="22"/>
  <c r="V34" i="22"/>
  <c r="W34" i="22"/>
  <c r="AM34" i="22" s="1"/>
  <c r="BC34" i="22" s="1"/>
  <c r="BS34" i="22" s="1"/>
  <c r="CI34" i="22" s="1"/>
  <c r="CY34" i="22" s="1"/>
  <c r="DO34" i="22" s="1"/>
  <c r="EE34" i="22" s="1"/>
  <c r="X34" i="22"/>
  <c r="AN34" i="22" s="1"/>
  <c r="BD34" i="22" s="1"/>
  <c r="BT34" i="22" s="1"/>
  <c r="CJ34" i="22" s="1"/>
  <c r="CZ34" i="22" s="1"/>
  <c r="DP34" i="22" s="1"/>
  <c r="EF34" i="22" s="1"/>
  <c r="Z34" i="22"/>
  <c r="AP34" i="22" s="1"/>
  <c r="BF34" i="22" s="1"/>
  <c r="AA34" i="22"/>
  <c r="AQ34" i="22" s="1"/>
  <c r="BG34" i="22" s="1"/>
  <c r="BW34" i="22" s="1"/>
  <c r="CM34" i="22" s="1"/>
  <c r="DC34" i="22" s="1"/>
  <c r="DS34" i="22" s="1"/>
  <c r="EI34" i="22" s="1"/>
  <c r="AB34" i="22"/>
  <c r="V35" i="22"/>
  <c r="W35" i="22"/>
  <c r="AM35" i="22" s="1"/>
  <c r="BC35" i="22" s="1"/>
  <c r="BS35" i="22" s="1"/>
  <c r="CI35" i="22" s="1"/>
  <c r="CY35" i="22" s="1"/>
  <c r="DO35" i="22" s="1"/>
  <c r="EE35" i="22" s="1"/>
  <c r="X35" i="22"/>
  <c r="AN35" i="22" s="1"/>
  <c r="BD35" i="22" s="1"/>
  <c r="Z35" i="22"/>
  <c r="AP35" i="22" s="1"/>
  <c r="BF35" i="22" s="1"/>
  <c r="BV35" i="22" s="1"/>
  <c r="CL35" i="22" s="1"/>
  <c r="DB35" i="22" s="1"/>
  <c r="DR35" i="22" s="1"/>
  <c r="AA35" i="22"/>
  <c r="AQ35" i="22" s="1"/>
  <c r="BG35" i="22" s="1"/>
  <c r="BW35" i="22" s="1"/>
  <c r="CM35" i="22" s="1"/>
  <c r="DC35" i="22" s="1"/>
  <c r="DS35" i="22" s="1"/>
  <c r="EI35" i="22" s="1"/>
  <c r="AB35" i="22"/>
  <c r="V36" i="22"/>
  <c r="W36" i="22"/>
  <c r="AM36" i="22" s="1"/>
  <c r="BC36" i="22" s="1"/>
  <c r="BS36" i="22" s="1"/>
  <c r="CI36" i="22" s="1"/>
  <c r="CY36" i="22" s="1"/>
  <c r="DO36" i="22" s="1"/>
  <c r="EE36" i="22" s="1"/>
  <c r="Z36" i="22"/>
  <c r="AP36" i="22" s="1"/>
  <c r="BF36" i="22" s="1"/>
  <c r="AA36" i="22"/>
  <c r="AQ36" i="22" s="1"/>
  <c r="BG36" i="22" s="1"/>
  <c r="BW36" i="22" s="1"/>
  <c r="CM36" i="22" s="1"/>
  <c r="DC36" i="22" s="1"/>
  <c r="DS36" i="22" s="1"/>
  <c r="EI36" i="22" s="1"/>
  <c r="AB36" i="22"/>
  <c r="AR36" i="22" s="1"/>
  <c r="AB19" i="22"/>
  <c r="AR19" i="22" s="1"/>
  <c r="BH19" i="22" s="1"/>
  <c r="AA19" i="22"/>
  <c r="AQ19" i="22" s="1"/>
  <c r="BG19" i="22" s="1"/>
  <c r="AB18" i="22"/>
  <c r="AR18" i="22" s="1"/>
  <c r="BH18" i="22" s="1"/>
  <c r="AA18" i="22"/>
  <c r="AQ18" i="22" s="1"/>
  <c r="BG18" i="22" s="1"/>
  <c r="BW18" i="22" s="1"/>
  <c r="CM18" i="22" s="1"/>
  <c r="DC18" i="22" s="1"/>
  <c r="DS18" i="22" s="1"/>
  <c r="EI18" i="22" s="1"/>
  <c r="Z18" i="22"/>
  <c r="AP18" i="22" s="1"/>
  <c r="X18" i="22"/>
  <c r="AN18" i="22" s="1"/>
  <c r="BD18" i="22" s="1"/>
  <c r="W18" i="22"/>
  <c r="AM18" i="22" s="1"/>
  <c r="BC18" i="22" s="1"/>
  <c r="BS18" i="22" s="1"/>
  <c r="CI18" i="22" s="1"/>
  <c r="CY18" i="22" s="1"/>
  <c r="DO18" i="22" s="1"/>
  <c r="EE18" i="22" s="1"/>
  <c r="V18" i="22"/>
  <c r="AL18" i="22" s="1"/>
  <c r="AB16" i="22"/>
  <c r="AR16" i="22" s="1"/>
  <c r="BH16" i="22" s="1"/>
  <c r="BX16" i="22" s="1"/>
  <c r="CN16" i="22" s="1"/>
  <c r="DD16" i="22" s="1"/>
  <c r="DT16" i="22" s="1"/>
  <c r="EJ16" i="22" s="1"/>
  <c r="AA16" i="22"/>
  <c r="AQ16" i="22" s="1"/>
  <c r="BG16" i="22" s="1"/>
  <c r="BW16" i="22" s="1"/>
  <c r="CM16" i="22" s="1"/>
  <c r="DC16" i="22" s="1"/>
  <c r="DS16" i="22" s="1"/>
  <c r="EI16" i="22" s="1"/>
  <c r="Z16" i="22"/>
  <c r="AP16" i="22" s="1"/>
  <c r="BF16" i="22" s="1"/>
  <c r="AB13" i="22"/>
  <c r="AR13" i="22" s="1"/>
  <c r="AA13" i="22"/>
  <c r="AQ13" i="22" s="1"/>
  <c r="Z13" i="22"/>
  <c r="AP13" i="22" s="1"/>
  <c r="X13" i="22"/>
  <c r="AN13" i="22" s="1"/>
  <c r="W13" i="22"/>
  <c r="AM13" i="22" s="1"/>
  <c r="V13" i="22"/>
  <c r="AL13" i="22" s="1"/>
  <c r="W199" i="22"/>
  <c r="Y182" i="22"/>
  <c r="Y128" i="22"/>
  <c r="U128" i="22"/>
  <c r="Y109" i="22"/>
  <c r="U109" i="22"/>
  <c r="Y43" i="22"/>
  <c r="U43" i="22"/>
  <c r="Y37" i="22"/>
  <c r="U37" i="22"/>
  <c r="AB11" i="22"/>
  <c r="Y11" i="22" s="1"/>
  <c r="F41" i="22"/>
  <c r="V41" i="22" s="1"/>
  <c r="AL41" i="22" s="1"/>
  <c r="BB41" i="22" s="1"/>
  <c r="S202" i="22"/>
  <c r="S201" i="22"/>
  <c r="T200" i="22"/>
  <c r="S200" i="22"/>
  <c r="R200" i="22"/>
  <c r="T199" i="22"/>
  <c r="S199" i="22"/>
  <c r="R199" i="22"/>
  <c r="P199" i="22"/>
  <c r="O199" i="22"/>
  <c r="S198" i="22"/>
  <c r="R198" i="22"/>
  <c r="T197" i="22"/>
  <c r="S197" i="22"/>
  <c r="R197" i="22"/>
  <c r="P197" i="22"/>
  <c r="O197" i="22"/>
  <c r="T196" i="22"/>
  <c r="S196" i="22"/>
  <c r="R196" i="22"/>
  <c r="P196" i="22"/>
  <c r="T195" i="22"/>
  <c r="S195" i="22"/>
  <c r="R195" i="22"/>
  <c r="T194" i="22"/>
  <c r="S194" i="22"/>
  <c r="R194" i="22"/>
  <c r="T193" i="22"/>
  <c r="S193" i="22"/>
  <c r="T191" i="22"/>
  <c r="S191" i="22"/>
  <c r="R191" i="22"/>
  <c r="T190" i="22"/>
  <c r="S190" i="22"/>
  <c r="R190" i="22"/>
  <c r="S189" i="22"/>
  <c r="M186" i="22"/>
  <c r="Q184" i="22"/>
  <c r="P184" i="22"/>
  <c r="N184" i="22"/>
  <c r="Q183" i="22"/>
  <c r="M183" i="22"/>
  <c r="Q182" i="22"/>
  <c r="Q179" i="22"/>
  <c r="M179" i="22"/>
  <c r="T177" i="22"/>
  <c r="S177" i="22"/>
  <c r="R177" i="22"/>
  <c r="P177" i="22"/>
  <c r="O177" i="22"/>
  <c r="N177" i="22"/>
  <c r="Q176" i="22"/>
  <c r="M176" i="22"/>
  <c r="Q175" i="22"/>
  <c r="M175" i="22"/>
  <c r="Q174" i="22"/>
  <c r="M174" i="22"/>
  <c r="Q173" i="22"/>
  <c r="O198" i="22"/>
  <c r="M173" i="22"/>
  <c r="T170" i="22"/>
  <c r="S170" i="22"/>
  <c r="R170" i="22"/>
  <c r="P170" i="22"/>
  <c r="O170" i="22"/>
  <c r="Q169" i="22"/>
  <c r="Q168" i="22"/>
  <c r="M168" i="22"/>
  <c r="Q167" i="22"/>
  <c r="M167" i="22"/>
  <c r="Q166" i="22"/>
  <c r="O190" i="22"/>
  <c r="M166" i="22"/>
  <c r="Q165" i="22"/>
  <c r="M165" i="22"/>
  <c r="S162" i="22"/>
  <c r="R162" i="22"/>
  <c r="N162" i="22"/>
  <c r="Q161" i="22"/>
  <c r="Q160" i="22"/>
  <c r="M160" i="22"/>
  <c r="Q159" i="22"/>
  <c r="N156" i="22"/>
  <c r="M159" i="22"/>
  <c r="Q158" i="22"/>
  <c r="O196" i="22"/>
  <c r="M158" i="22"/>
  <c r="T156" i="22"/>
  <c r="S156" i="22"/>
  <c r="R156" i="22"/>
  <c r="P156" i="22"/>
  <c r="O156" i="22"/>
  <c r="Q154" i="22"/>
  <c r="M154" i="22"/>
  <c r="Q153" i="22"/>
  <c r="M153" i="22"/>
  <c r="T151" i="22"/>
  <c r="S151" i="22"/>
  <c r="R151" i="22"/>
  <c r="P151" i="22"/>
  <c r="O151" i="22"/>
  <c r="Q149" i="22"/>
  <c r="M149" i="22"/>
  <c r="Q148" i="22"/>
  <c r="M148" i="22"/>
  <c r="Q144" i="22"/>
  <c r="M144" i="22"/>
  <c r="Q143" i="22"/>
  <c r="M143" i="22"/>
  <c r="M142" i="22"/>
  <c r="T140" i="22"/>
  <c r="S140" i="22"/>
  <c r="R140" i="22"/>
  <c r="P140" i="22"/>
  <c r="O140" i="22"/>
  <c r="Q138" i="22"/>
  <c r="M138" i="22"/>
  <c r="Q137" i="22"/>
  <c r="P126" i="22"/>
  <c r="Q136" i="22"/>
  <c r="M136" i="22"/>
  <c r="Q135" i="22"/>
  <c r="M135" i="22"/>
  <c r="Q134" i="22"/>
  <c r="M134" i="22"/>
  <c r="Q133" i="22"/>
  <c r="M133" i="22"/>
  <c r="Q132" i="22"/>
  <c r="M132" i="22"/>
  <c r="Q131" i="22"/>
  <c r="M131" i="22"/>
  <c r="Q130" i="22"/>
  <c r="M130" i="22"/>
  <c r="Q129" i="22"/>
  <c r="O194" i="22"/>
  <c r="M129" i="22"/>
  <c r="Q128" i="22"/>
  <c r="M128" i="22"/>
  <c r="T126" i="22"/>
  <c r="S126" i="22"/>
  <c r="R126" i="22"/>
  <c r="Q124" i="22"/>
  <c r="N120" i="22"/>
  <c r="M124" i="22"/>
  <c r="Q123" i="22"/>
  <c r="M123" i="22"/>
  <c r="Q122" i="22"/>
  <c r="M122" i="22"/>
  <c r="T120" i="22"/>
  <c r="S120" i="22"/>
  <c r="R120" i="22"/>
  <c r="P120" i="22"/>
  <c r="O120" i="22"/>
  <c r="Q118" i="22"/>
  <c r="M118" i="22"/>
  <c r="Q117" i="22"/>
  <c r="M117" i="22"/>
  <c r="Q116" i="22"/>
  <c r="M116" i="22"/>
  <c r="Q113" i="22"/>
  <c r="M113" i="22"/>
  <c r="Q112" i="22"/>
  <c r="O110" i="22"/>
  <c r="M112" i="22"/>
  <c r="T110" i="22"/>
  <c r="S110" i="22"/>
  <c r="R110" i="22"/>
  <c r="Q109" i="22"/>
  <c r="M109" i="22"/>
  <c r="Q108" i="22"/>
  <c r="M108" i="22"/>
  <c r="Q107" i="22"/>
  <c r="M107" i="22"/>
  <c r="N104" i="22"/>
  <c r="Q106" i="22"/>
  <c r="P194" i="22"/>
  <c r="M106" i="22"/>
  <c r="T104" i="22"/>
  <c r="S104" i="22"/>
  <c r="R104" i="22"/>
  <c r="O104" i="22"/>
  <c r="Q102" i="22"/>
  <c r="M102" i="22"/>
  <c r="Q101" i="22"/>
  <c r="M101" i="22"/>
  <c r="Q100" i="22"/>
  <c r="M100" i="22"/>
  <c r="Q99" i="22"/>
  <c r="M99" i="22"/>
  <c r="T97" i="22"/>
  <c r="S97" i="22"/>
  <c r="R97" i="22"/>
  <c r="P97" i="22"/>
  <c r="O97" i="22"/>
  <c r="N97" i="22"/>
  <c r="Q96" i="22"/>
  <c r="M96" i="22"/>
  <c r="Q95" i="22"/>
  <c r="M95" i="22"/>
  <c r="Q94" i="22"/>
  <c r="M94" i="22"/>
  <c r="Q93" i="22"/>
  <c r="M93" i="22"/>
  <c r="Q92" i="22"/>
  <c r="M92" i="22"/>
  <c r="T90" i="22"/>
  <c r="S90" i="22"/>
  <c r="R90" i="22"/>
  <c r="P90" i="22"/>
  <c r="O90" i="22"/>
  <c r="N90" i="22"/>
  <c r="Q89" i="22"/>
  <c r="M89" i="22"/>
  <c r="Q88" i="22"/>
  <c r="M88" i="22"/>
  <c r="Q87" i="22"/>
  <c r="M87" i="22"/>
  <c r="N84" i="22"/>
  <c r="Q86" i="22"/>
  <c r="M86" i="22"/>
  <c r="T84" i="22"/>
  <c r="S84" i="22"/>
  <c r="R84" i="22"/>
  <c r="O84" i="22"/>
  <c r="Q82" i="22"/>
  <c r="M82" i="22"/>
  <c r="Q81" i="22"/>
  <c r="M81" i="22"/>
  <c r="Q80" i="22"/>
  <c r="M80" i="22"/>
  <c r="Q79" i="22"/>
  <c r="O77" i="22"/>
  <c r="M79" i="22"/>
  <c r="T77" i="22"/>
  <c r="S77" i="22"/>
  <c r="R77" i="22"/>
  <c r="N77" i="22"/>
  <c r="Q76" i="22"/>
  <c r="M76" i="22"/>
  <c r="Q75" i="22"/>
  <c r="M75" i="22"/>
  <c r="Q74" i="22"/>
  <c r="M74" i="22"/>
  <c r="Q73" i="22"/>
  <c r="M73" i="22"/>
  <c r="Q72" i="22"/>
  <c r="M72" i="22"/>
  <c r="T70" i="22"/>
  <c r="S70" i="22"/>
  <c r="R70" i="22"/>
  <c r="P70" i="22"/>
  <c r="O70" i="22"/>
  <c r="Q68" i="22"/>
  <c r="M68" i="22"/>
  <c r="Q67" i="22"/>
  <c r="M67" i="22"/>
  <c r="Q66" i="22"/>
  <c r="M66" i="22"/>
  <c r="T64" i="22"/>
  <c r="S64" i="22"/>
  <c r="R64" i="22"/>
  <c r="P64" i="22"/>
  <c r="O64" i="22"/>
  <c r="N64" i="22"/>
  <c r="Q62" i="22"/>
  <c r="M62" i="22"/>
  <c r="Q61" i="22"/>
  <c r="M61" i="22"/>
  <c r="Q60" i="22"/>
  <c r="P57" i="22"/>
  <c r="O57" i="22"/>
  <c r="M60" i="22"/>
  <c r="Q59" i="22"/>
  <c r="N193" i="22"/>
  <c r="T57" i="22"/>
  <c r="S57" i="22"/>
  <c r="R57" i="22"/>
  <c r="Q55" i="22"/>
  <c r="M55" i="22"/>
  <c r="Q54" i="22"/>
  <c r="M54" i="22"/>
  <c r="Q53" i="22"/>
  <c r="M53" i="22"/>
  <c r="T51" i="22"/>
  <c r="S51" i="22"/>
  <c r="R51" i="22"/>
  <c r="P51" i="22"/>
  <c r="O51" i="22"/>
  <c r="Q48" i="22"/>
  <c r="M48" i="22"/>
  <c r="Q47" i="22"/>
  <c r="M47" i="22"/>
  <c r="Q46" i="22"/>
  <c r="M46" i="22"/>
  <c r="T44" i="22"/>
  <c r="S44" i="22"/>
  <c r="R44" i="22"/>
  <c r="P44" i="22"/>
  <c r="O44" i="22"/>
  <c r="N44" i="22"/>
  <c r="Q43" i="22"/>
  <c r="M43" i="22"/>
  <c r="Q42" i="22"/>
  <c r="M42" i="22"/>
  <c r="Q41" i="22"/>
  <c r="M41" i="22"/>
  <c r="Q40" i="22"/>
  <c r="M40" i="22"/>
  <c r="T38" i="22"/>
  <c r="S38" i="22"/>
  <c r="R38" i="22"/>
  <c r="P38" i="22"/>
  <c r="O38" i="22"/>
  <c r="N38" i="22"/>
  <c r="Q37" i="22"/>
  <c r="M37" i="22"/>
  <c r="Q36" i="22"/>
  <c r="M36" i="22"/>
  <c r="Q35" i="22"/>
  <c r="M35" i="22"/>
  <c r="Q33" i="22"/>
  <c r="O191" i="22"/>
  <c r="N191" i="22"/>
  <c r="T202" i="22"/>
  <c r="R202" i="22"/>
  <c r="O202" i="22"/>
  <c r="T201" i="22"/>
  <c r="R201" i="22"/>
  <c r="O201" i="22"/>
  <c r="Q27" i="22"/>
  <c r="P200" i="22"/>
  <c r="O200" i="22"/>
  <c r="M27" i="22"/>
  <c r="Q26" i="22"/>
  <c r="N199" i="22"/>
  <c r="M26" i="22"/>
  <c r="T198" i="22"/>
  <c r="Q25" i="22"/>
  <c r="P198" i="22"/>
  <c r="M25" i="22"/>
  <c r="Q24" i="22"/>
  <c r="N197" i="22"/>
  <c r="Q23" i="22"/>
  <c r="M23" i="22"/>
  <c r="Q22" i="22"/>
  <c r="P195" i="22"/>
  <c r="O195" i="22"/>
  <c r="N195" i="22"/>
  <c r="Q21" i="22"/>
  <c r="M21" i="22"/>
  <c r="Q20" i="22"/>
  <c r="M20" i="22"/>
  <c r="R193" i="22"/>
  <c r="Q18" i="22"/>
  <c r="M18" i="22"/>
  <c r="Q16" i="22"/>
  <c r="M16" i="22"/>
  <c r="S14" i="22"/>
  <c r="Q13" i="22"/>
  <c r="M13" i="22"/>
  <c r="T11" i="22"/>
  <c r="Q11" i="22" s="1"/>
  <c r="S11" i="22"/>
  <c r="P11" i="22"/>
  <c r="O11" i="22"/>
  <c r="N11" i="22"/>
  <c r="K202" i="22"/>
  <c r="K201" i="22"/>
  <c r="L200" i="22"/>
  <c r="K200" i="22"/>
  <c r="J200" i="22"/>
  <c r="L199" i="22"/>
  <c r="K199" i="22"/>
  <c r="J199" i="22"/>
  <c r="H199" i="22"/>
  <c r="G199" i="22"/>
  <c r="K198" i="22"/>
  <c r="J198" i="22"/>
  <c r="L197" i="22"/>
  <c r="K197" i="22"/>
  <c r="J197" i="22"/>
  <c r="H197" i="22"/>
  <c r="G197" i="22"/>
  <c r="L196" i="22"/>
  <c r="K196" i="22"/>
  <c r="J196" i="22"/>
  <c r="H196" i="22"/>
  <c r="L195" i="22"/>
  <c r="K195" i="22"/>
  <c r="J195" i="22"/>
  <c r="L194" i="22"/>
  <c r="K194" i="22"/>
  <c r="J194" i="22"/>
  <c r="L193" i="22"/>
  <c r="K193" i="22"/>
  <c r="L191" i="22"/>
  <c r="K191" i="22"/>
  <c r="J191" i="22"/>
  <c r="L190" i="22"/>
  <c r="K190" i="22"/>
  <c r="J190" i="22"/>
  <c r="K189" i="22"/>
  <c r="E186" i="22"/>
  <c r="EK186" i="22" s="1"/>
  <c r="I184" i="22"/>
  <c r="H184" i="22"/>
  <c r="F184" i="22"/>
  <c r="I183" i="22"/>
  <c r="H183" i="22"/>
  <c r="E183" i="22" s="1"/>
  <c r="EK183" i="22" s="1"/>
  <c r="I182" i="22"/>
  <c r="I179" i="22"/>
  <c r="E179" i="22"/>
  <c r="EK179" i="22" s="1"/>
  <c r="L177" i="22"/>
  <c r="K177" i="22"/>
  <c r="J177" i="22"/>
  <c r="H177" i="22"/>
  <c r="G177" i="22"/>
  <c r="F177" i="22"/>
  <c r="I176" i="22"/>
  <c r="F176" i="22"/>
  <c r="V176" i="22" s="1"/>
  <c r="I175" i="22"/>
  <c r="E175" i="22"/>
  <c r="EK175" i="22" s="1"/>
  <c r="I174" i="22"/>
  <c r="F174" i="22"/>
  <c r="E174" i="22" s="1"/>
  <c r="EK174" i="22" s="1"/>
  <c r="I173" i="22"/>
  <c r="G173" i="22"/>
  <c r="W173" i="22" s="1"/>
  <c r="F173" i="22"/>
  <c r="E173" i="22" s="1"/>
  <c r="EK173" i="22" s="1"/>
  <c r="L170" i="22"/>
  <c r="K170" i="22"/>
  <c r="J170" i="22"/>
  <c r="H170" i="22"/>
  <c r="L169" i="22"/>
  <c r="F169" i="22"/>
  <c r="V169" i="22" s="1"/>
  <c r="AL169" i="22" s="1"/>
  <c r="I168" i="22"/>
  <c r="F168" i="22"/>
  <c r="E168" i="22" s="1"/>
  <c r="EK168" i="22" s="1"/>
  <c r="I167" i="22"/>
  <c r="E167" i="22"/>
  <c r="EK167" i="22" s="1"/>
  <c r="I166" i="22"/>
  <c r="G166" i="22"/>
  <c r="G190" i="22" s="1"/>
  <c r="F166" i="22"/>
  <c r="E166" i="22" s="1"/>
  <c r="EK166" i="22" s="1"/>
  <c r="I165" i="22"/>
  <c r="G165" i="22"/>
  <c r="W165" i="22" s="1"/>
  <c r="F165" i="22"/>
  <c r="E165" i="22" s="1"/>
  <c r="EK165" i="22" s="1"/>
  <c r="K162" i="22"/>
  <c r="J162" i="22"/>
  <c r="I161" i="22"/>
  <c r="H161" i="22"/>
  <c r="H156" i="22" s="1"/>
  <c r="F161" i="22"/>
  <c r="V161" i="22" s="1"/>
  <c r="I160" i="22"/>
  <c r="E160" i="22"/>
  <c r="EK160" i="22" s="1"/>
  <c r="I159" i="22"/>
  <c r="F159" i="22"/>
  <c r="V159" i="22" s="1"/>
  <c r="I158" i="22"/>
  <c r="G158" i="22"/>
  <c r="W158" i="22" s="1"/>
  <c r="F158" i="22"/>
  <c r="E158" i="22" s="1"/>
  <c r="EK158" i="22" s="1"/>
  <c r="L156" i="22"/>
  <c r="K156" i="22"/>
  <c r="J156" i="22"/>
  <c r="I156" i="22" s="1"/>
  <c r="I154" i="22"/>
  <c r="F154" i="22"/>
  <c r="E154" i="22" s="1"/>
  <c r="EK154" i="22" s="1"/>
  <c r="I153" i="22"/>
  <c r="G153" i="22"/>
  <c r="W153" i="22" s="1"/>
  <c r="F153" i="22"/>
  <c r="E153" i="22" s="1"/>
  <c r="EK153" i="22" s="1"/>
  <c r="L151" i="22"/>
  <c r="K151" i="22"/>
  <c r="J151" i="22"/>
  <c r="H151" i="22"/>
  <c r="I149" i="22"/>
  <c r="F149" i="22"/>
  <c r="E149" i="22" s="1"/>
  <c r="EK149" i="22" s="1"/>
  <c r="I148" i="22"/>
  <c r="E148" i="22"/>
  <c r="EK148" i="22" s="1"/>
  <c r="I144" i="22"/>
  <c r="F144" i="22"/>
  <c r="V144" i="22" s="1"/>
  <c r="I143" i="22"/>
  <c r="G143" i="22"/>
  <c r="G140" i="22" s="1"/>
  <c r="F143" i="22"/>
  <c r="E143" i="22" s="1"/>
  <c r="EK143" i="22" s="1"/>
  <c r="F142" i="22"/>
  <c r="E142" i="22" s="1"/>
  <c r="EK142" i="22" s="1"/>
  <c r="L140" i="22"/>
  <c r="K140" i="22"/>
  <c r="J140" i="22"/>
  <c r="H140" i="22"/>
  <c r="I138" i="22"/>
  <c r="E138" i="22"/>
  <c r="EK138" i="22" s="1"/>
  <c r="I137" i="22"/>
  <c r="H137" i="22"/>
  <c r="H126" i="22" s="1"/>
  <c r="F137" i="22"/>
  <c r="I136" i="22"/>
  <c r="G136" i="22"/>
  <c r="F136" i="22"/>
  <c r="E136" i="22" s="1"/>
  <c r="EK136" i="22" s="1"/>
  <c r="I135" i="22"/>
  <c r="E135" i="22"/>
  <c r="EK135" i="22" s="1"/>
  <c r="I134" i="22"/>
  <c r="E134" i="22"/>
  <c r="EK134" i="22" s="1"/>
  <c r="I133" i="22"/>
  <c r="E133" i="22"/>
  <c r="EK133" i="22" s="1"/>
  <c r="I132" i="22"/>
  <c r="E132" i="22"/>
  <c r="EK132" i="22" s="1"/>
  <c r="I131" i="22"/>
  <c r="F131" i="22"/>
  <c r="E131" i="22" s="1"/>
  <c r="EK131" i="22" s="1"/>
  <c r="I130" i="22"/>
  <c r="E130" i="22"/>
  <c r="EK130" i="22" s="1"/>
  <c r="I129" i="22"/>
  <c r="G129" i="22"/>
  <c r="W129" i="22" s="1"/>
  <c r="AM129" i="22" s="1"/>
  <c r="BC129" i="22" s="1"/>
  <c r="BS129" i="22" s="1"/>
  <c r="CI129" i="22" s="1"/>
  <c r="CY129" i="22" s="1"/>
  <c r="DO129" i="22" s="1"/>
  <c r="E129" i="22"/>
  <c r="EK129" i="22" s="1"/>
  <c r="I128" i="22"/>
  <c r="E128" i="22"/>
  <c r="EK128" i="22" s="1"/>
  <c r="L126" i="22"/>
  <c r="K126" i="22"/>
  <c r="J126" i="22"/>
  <c r="I124" i="22"/>
  <c r="F124" i="22"/>
  <c r="V124" i="22" s="1"/>
  <c r="AL124" i="22" s="1"/>
  <c r="I123" i="22"/>
  <c r="G123" i="22"/>
  <c r="G120" i="22" s="1"/>
  <c r="F123" i="22"/>
  <c r="E123" i="22" s="1"/>
  <c r="EK123" i="22" s="1"/>
  <c r="I122" i="22"/>
  <c r="E122" i="22"/>
  <c r="EK122" i="22" s="1"/>
  <c r="L120" i="22"/>
  <c r="K120" i="22"/>
  <c r="J120" i="22"/>
  <c r="H120" i="22"/>
  <c r="I118" i="22"/>
  <c r="H118" i="22"/>
  <c r="G118" i="22"/>
  <c r="W118" i="22" s="1"/>
  <c r="AM118" i="22" s="1"/>
  <c r="BC118" i="22" s="1"/>
  <c r="BS118" i="22" s="1"/>
  <c r="CI118" i="22" s="1"/>
  <c r="CY118" i="22" s="1"/>
  <c r="DO118" i="22" s="1"/>
  <c r="EE118" i="22" s="1"/>
  <c r="F118" i="22"/>
  <c r="V118" i="22" s="1"/>
  <c r="I117" i="22"/>
  <c r="G117" i="22"/>
  <c r="W117" i="22" s="1"/>
  <c r="AM117" i="22" s="1"/>
  <c r="BC117" i="22" s="1"/>
  <c r="BS117" i="22" s="1"/>
  <c r="CI117" i="22" s="1"/>
  <c r="CY117" i="22" s="1"/>
  <c r="DO117" i="22" s="1"/>
  <c r="EE117" i="22" s="1"/>
  <c r="F117" i="22"/>
  <c r="E117" i="22" s="1"/>
  <c r="EK117" i="22" s="1"/>
  <c r="I116" i="22"/>
  <c r="E116" i="22"/>
  <c r="EK116" i="22" s="1"/>
  <c r="I113" i="22"/>
  <c r="F113" i="22"/>
  <c r="E113" i="22" s="1"/>
  <c r="EK113" i="22" s="1"/>
  <c r="I112" i="22"/>
  <c r="G112" i="22"/>
  <c r="W112" i="22" s="1"/>
  <c r="AM112" i="22" s="1"/>
  <c r="BC112" i="22" s="1"/>
  <c r="BS112" i="22" s="1"/>
  <c r="CI112" i="22" s="1"/>
  <c r="CY112" i="22" s="1"/>
  <c r="F112" i="22"/>
  <c r="E112" i="22" s="1"/>
  <c r="EK112" i="22" s="1"/>
  <c r="L110" i="22"/>
  <c r="K110" i="22"/>
  <c r="J110" i="22"/>
  <c r="I109" i="22"/>
  <c r="E109" i="22"/>
  <c r="EK109" i="22" s="1"/>
  <c r="I108" i="22"/>
  <c r="E108" i="22"/>
  <c r="EK108" i="22" s="1"/>
  <c r="I107" i="22"/>
  <c r="H107" i="22"/>
  <c r="X107" i="22" s="1"/>
  <c r="AN107" i="22" s="1"/>
  <c r="F107" i="22"/>
  <c r="V107" i="22" s="1"/>
  <c r="I106" i="22"/>
  <c r="H106" i="22"/>
  <c r="X106" i="22" s="1"/>
  <c r="AN106" i="22" s="1"/>
  <c r="BD106" i="22" s="1"/>
  <c r="BT106" i="22" s="1"/>
  <c r="CJ106" i="22" s="1"/>
  <c r="CZ106" i="22" s="1"/>
  <c r="DP106" i="22" s="1"/>
  <c r="G106" i="22"/>
  <c r="W106" i="22" s="1"/>
  <c r="AM106" i="22" s="1"/>
  <c r="BC106" i="22" s="1"/>
  <c r="BS106" i="22" s="1"/>
  <c r="CI106" i="22" s="1"/>
  <c r="CY106" i="22" s="1"/>
  <c r="F106" i="22"/>
  <c r="L104" i="22"/>
  <c r="K104" i="22"/>
  <c r="J104" i="22"/>
  <c r="I102" i="22"/>
  <c r="E102" i="22"/>
  <c r="EK102" i="22" s="1"/>
  <c r="I101" i="22"/>
  <c r="E101" i="22"/>
  <c r="EK101" i="22" s="1"/>
  <c r="I100" i="22"/>
  <c r="F100" i="22"/>
  <c r="V100" i="22" s="1"/>
  <c r="I99" i="22"/>
  <c r="G99" i="22"/>
  <c r="G97" i="22" s="1"/>
  <c r="F99" i="22"/>
  <c r="V99" i="22" s="1"/>
  <c r="L97" i="22"/>
  <c r="K97" i="22"/>
  <c r="J97" i="22"/>
  <c r="H97" i="22"/>
  <c r="I96" i="22"/>
  <c r="E96" i="22"/>
  <c r="EK96" i="22" s="1"/>
  <c r="I95" i="22"/>
  <c r="H95" i="22"/>
  <c r="X95" i="22" s="1"/>
  <c r="AN95" i="22" s="1"/>
  <c r="BD95" i="22" s="1"/>
  <c r="BT95" i="22" s="1"/>
  <c r="CJ95" i="22" s="1"/>
  <c r="CZ95" i="22" s="1"/>
  <c r="DP95" i="22" s="1"/>
  <c r="EF95" i="22" s="1"/>
  <c r="F95" i="22"/>
  <c r="V95" i="22" s="1"/>
  <c r="AL95" i="22" s="1"/>
  <c r="I94" i="22"/>
  <c r="E94" i="22"/>
  <c r="EK94" i="22" s="1"/>
  <c r="I93" i="22"/>
  <c r="F93" i="22"/>
  <c r="E93" i="22" s="1"/>
  <c r="EK93" i="22" s="1"/>
  <c r="I92" i="22"/>
  <c r="G92" i="22"/>
  <c r="G90" i="22" s="1"/>
  <c r="F92" i="22"/>
  <c r="E92" i="22" s="1"/>
  <c r="EK92" i="22" s="1"/>
  <c r="L90" i="22"/>
  <c r="K90" i="22"/>
  <c r="J90" i="22"/>
  <c r="H90" i="22"/>
  <c r="I89" i="22"/>
  <c r="H89" i="22"/>
  <c r="E89" i="22" s="1"/>
  <c r="EK89" i="22" s="1"/>
  <c r="I88" i="22"/>
  <c r="E88" i="22"/>
  <c r="EK88" i="22" s="1"/>
  <c r="I87" i="22"/>
  <c r="H87" i="22"/>
  <c r="F87" i="22"/>
  <c r="V87" i="22" s="1"/>
  <c r="I86" i="22"/>
  <c r="G86" i="22"/>
  <c r="G84" i="22" s="1"/>
  <c r="F86" i="22"/>
  <c r="V86" i="22" s="1"/>
  <c r="L84" i="22"/>
  <c r="K84" i="22"/>
  <c r="J84" i="22"/>
  <c r="I82" i="22"/>
  <c r="H82" i="22"/>
  <c r="E82" i="22" s="1"/>
  <c r="EK82" i="22" s="1"/>
  <c r="I81" i="22"/>
  <c r="E81" i="22"/>
  <c r="EK81" i="22" s="1"/>
  <c r="I80" i="22"/>
  <c r="F80" i="22"/>
  <c r="E80" i="22" s="1"/>
  <c r="EK80" i="22" s="1"/>
  <c r="I79" i="22"/>
  <c r="G79" i="22"/>
  <c r="G77" i="22" s="1"/>
  <c r="F79" i="22"/>
  <c r="E79" i="22" s="1"/>
  <c r="EK79" i="22" s="1"/>
  <c r="L77" i="22"/>
  <c r="K77" i="22"/>
  <c r="J77" i="22"/>
  <c r="I76" i="22"/>
  <c r="H76" i="22"/>
  <c r="X76" i="22" s="1"/>
  <c r="AN76" i="22" s="1"/>
  <c r="BD76" i="22" s="1"/>
  <c r="BT76" i="22" s="1"/>
  <c r="CJ76" i="22" s="1"/>
  <c r="CZ76" i="22" s="1"/>
  <c r="DP76" i="22" s="1"/>
  <c r="EF76" i="22" s="1"/>
  <c r="F76" i="22"/>
  <c r="I75" i="22"/>
  <c r="E75" i="22"/>
  <c r="EK75" i="22" s="1"/>
  <c r="I74" i="22"/>
  <c r="E74" i="22"/>
  <c r="EK74" i="22" s="1"/>
  <c r="I73" i="22"/>
  <c r="F73" i="22"/>
  <c r="V73" i="22" s="1"/>
  <c r="I72" i="22"/>
  <c r="G72" i="22"/>
  <c r="W72" i="22" s="1"/>
  <c r="F72" i="22"/>
  <c r="E72" i="22" s="1"/>
  <c r="EK72" i="22" s="1"/>
  <c r="L70" i="22"/>
  <c r="K70" i="22"/>
  <c r="J70" i="22"/>
  <c r="I68" i="22"/>
  <c r="E68" i="22"/>
  <c r="EK68" i="22" s="1"/>
  <c r="I67" i="22"/>
  <c r="F67" i="22"/>
  <c r="V67" i="22" s="1"/>
  <c r="AL67" i="22" s="1"/>
  <c r="BB67" i="22" s="1"/>
  <c r="I66" i="22"/>
  <c r="G66" i="22"/>
  <c r="G64" i="22" s="1"/>
  <c r="F66" i="22"/>
  <c r="E66" i="22" s="1"/>
  <c r="EK66" i="22" s="1"/>
  <c r="L64" i="22"/>
  <c r="K64" i="22"/>
  <c r="J64" i="22"/>
  <c r="H64" i="22"/>
  <c r="I62" i="22"/>
  <c r="E62" i="22"/>
  <c r="EK62" i="22" s="1"/>
  <c r="I61" i="22"/>
  <c r="F61" i="22"/>
  <c r="E61" i="22" s="1"/>
  <c r="EK61" i="22" s="1"/>
  <c r="I60" i="22"/>
  <c r="H60" i="22"/>
  <c r="H57" i="22" s="1"/>
  <c r="G60" i="22"/>
  <c r="G57" i="22" s="1"/>
  <c r="F60" i="22"/>
  <c r="I59" i="22"/>
  <c r="F59" i="22"/>
  <c r="V59" i="22" s="1"/>
  <c r="AL59" i="22" s="1"/>
  <c r="L57" i="22"/>
  <c r="K57" i="22"/>
  <c r="J57" i="22"/>
  <c r="I55" i="22"/>
  <c r="E55" i="22"/>
  <c r="EK55" i="22" s="1"/>
  <c r="I54" i="22"/>
  <c r="F54" i="22"/>
  <c r="E54" i="22" s="1"/>
  <c r="EK54" i="22" s="1"/>
  <c r="I53" i="22"/>
  <c r="G53" i="22"/>
  <c r="G51" i="22" s="1"/>
  <c r="F53" i="22"/>
  <c r="E53" i="22" s="1"/>
  <c r="EK53" i="22" s="1"/>
  <c r="L51" i="22"/>
  <c r="K51" i="22"/>
  <c r="J51" i="22"/>
  <c r="H51" i="22"/>
  <c r="I48" i="22"/>
  <c r="E48" i="22"/>
  <c r="EK48" i="22" s="1"/>
  <c r="I47" i="22"/>
  <c r="F47" i="22"/>
  <c r="E47" i="22" s="1"/>
  <c r="EK47" i="22" s="1"/>
  <c r="I46" i="22"/>
  <c r="G46" i="22"/>
  <c r="G44" i="22" s="1"/>
  <c r="F46" i="22"/>
  <c r="E46" i="22" s="1"/>
  <c r="EK46" i="22" s="1"/>
  <c r="L44" i="22"/>
  <c r="K44" i="22"/>
  <c r="J44" i="22"/>
  <c r="H44" i="22"/>
  <c r="I43" i="22"/>
  <c r="E43" i="22"/>
  <c r="EK43" i="22" s="1"/>
  <c r="I42" i="22"/>
  <c r="E42" i="22"/>
  <c r="EK42" i="22" s="1"/>
  <c r="I41" i="22"/>
  <c r="I40" i="22"/>
  <c r="G40" i="22"/>
  <c r="W40" i="22" s="1"/>
  <c r="AM40" i="22" s="1"/>
  <c r="BC40" i="22" s="1"/>
  <c r="BS40" i="22" s="1"/>
  <c r="CI40" i="22" s="1"/>
  <c r="CY40" i="22" s="1"/>
  <c r="DO40" i="22" s="1"/>
  <c r="F40" i="22"/>
  <c r="E40" i="22" s="1"/>
  <c r="EK40" i="22" s="1"/>
  <c r="L38" i="22"/>
  <c r="K38" i="22"/>
  <c r="J38" i="22"/>
  <c r="H38" i="22"/>
  <c r="I37" i="22"/>
  <c r="E37" i="22"/>
  <c r="EK37" i="22" s="1"/>
  <c r="I36" i="22"/>
  <c r="H36" i="22"/>
  <c r="E36" i="22" s="1"/>
  <c r="EK36" i="22" s="1"/>
  <c r="I35" i="22"/>
  <c r="E35" i="22"/>
  <c r="EK35" i="22" s="1"/>
  <c r="I33" i="22"/>
  <c r="G33" i="22"/>
  <c r="G191" i="22" s="1"/>
  <c r="F33" i="22"/>
  <c r="F191" i="22" s="1"/>
  <c r="L31" i="22"/>
  <c r="J31" i="22"/>
  <c r="J202" i="22" s="1"/>
  <c r="G31" i="22"/>
  <c r="W31" i="22" s="1"/>
  <c r="AM31" i="22" s="1"/>
  <c r="L28" i="22"/>
  <c r="L201" i="22" s="1"/>
  <c r="J28" i="22"/>
  <c r="J201" i="22" s="1"/>
  <c r="G28" i="22"/>
  <c r="W28" i="22" s="1"/>
  <c r="AM28" i="22" s="1"/>
  <c r="I27" i="22"/>
  <c r="H27" i="22"/>
  <c r="H200" i="22" s="1"/>
  <c r="G27" i="22"/>
  <c r="G200" i="22" s="1"/>
  <c r="F27" i="22"/>
  <c r="I26" i="22"/>
  <c r="F26" i="22"/>
  <c r="F199" i="22" s="1"/>
  <c r="L25" i="22"/>
  <c r="G25" i="22"/>
  <c r="W25" i="22" s="1"/>
  <c r="AM25" i="22" s="1"/>
  <c r="BC25" i="22" s="1"/>
  <c r="F25" i="22"/>
  <c r="V25" i="22" s="1"/>
  <c r="AL25" i="22" s="1"/>
  <c r="I24" i="22"/>
  <c r="F24" i="22"/>
  <c r="F197" i="22" s="1"/>
  <c r="E197" i="22" s="1"/>
  <c r="EK197" i="22" s="1"/>
  <c r="I23" i="22"/>
  <c r="F23" i="22"/>
  <c r="E23" i="22" s="1"/>
  <c r="EK23" i="22" s="1"/>
  <c r="I22" i="22"/>
  <c r="H22" i="22"/>
  <c r="H195" i="22" s="1"/>
  <c r="G22" i="22"/>
  <c r="F22" i="22"/>
  <c r="V22" i="22" s="1"/>
  <c r="I21" i="22"/>
  <c r="F21" i="22"/>
  <c r="V21" i="22" s="1"/>
  <c r="I20" i="22"/>
  <c r="F20" i="22"/>
  <c r="V20" i="22" s="1"/>
  <c r="J19" i="22"/>
  <c r="I18" i="22"/>
  <c r="E18" i="22"/>
  <c r="EK18" i="22" s="1"/>
  <c r="I16" i="22"/>
  <c r="H16" i="22"/>
  <c r="H19" i="22" s="1"/>
  <c r="H193" i="22" s="1"/>
  <c r="G16" i="22"/>
  <c r="G19" i="22" s="1"/>
  <c r="W19" i="22" s="1"/>
  <c r="AM19" i="22" s="1"/>
  <c r="BC19" i="22" s="1"/>
  <c r="F16" i="22"/>
  <c r="K14" i="22"/>
  <c r="I13" i="22"/>
  <c r="E13" i="22"/>
  <c r="EK13" i="22" s="1"/>
  <c r="L11" i="22"/>
  <c r="I11" i="22" s="1"/>
  <c r="K11" i="22"/>
  <c r="H11" i="22"/>
  <c r="G11" i="22"/>
  <c r="F11" i="22"/>
  <c r="M184" i="22" l="1"/>
  <c r="E41" i="22"/>
  <c r="EK41" i="22" s="1"/>
  <c r="V184" i="22"/>
  <c r="G195" i="22"/>
  <c r="Z197" i="22"/>
  <c r="G151" i="22"/>
  <c r="M197" i="22"/>
  <c r="M38" i="22"/>
  <c r="Q51" i="22"/>
  <c r="Z177" i="22"/>
  <c r="E27" i="22"/>
  <c r="EK27" i="22" s="1"/>
  <c r="I51" i="22"/>
  <c r="I64" i="22"/>
  <c r="Y186" i="22"/>
  <c r="G70" i="22"/>
  <c r="AA177" i="22"/>
  <c r="M199" i="22"/>
  <c r="Q177" i="22"/>
  <c r="AA151" i="22"/>
  <c r="Z191" i="22"/>
  <c r="X137" i="22"/>
  <c r="AN137" i="22" s="1"/>
  <c r="BD137" i="22" s="1"/>
  <c r="BT137" i="22" s="1"/>
  <c r="CJ137" i="22" s="1"/>
  <c r="CZ137" i="22" s="1"/>
  <c r="DP137" i="22" s="1"/>
  <c r="EF137" i="22" s="1"/>
  <c r="Y13" i="22"/>
  <c r="V66" i="22"/>
  <c r="AL66" i="22" s="1"/>
  <c r="BB66" i="22" s="1"/>
  <c r="V142" i="22"/>
  <c r="AL142" i="22" s="1"/>
  <c r="BB142" i="22" s="1"/>
  <c r="E60" i="22"/>
  <c r="EK60" i="22" s="1"/>
  <c r="F64" i="22"/>
  <c r="I97" i="22"/>
  <c r="E124" i="22"/>
  <c r="EK124" i="22" s="1"/>
  <c r="Q38" i="22"/>
  <c r="M97" i="22"/>
  <c r="Q120" i="22"/>
  <c r="Q151" i="22"/>
  <c r="Q170" i="22"/>
  <c r="M177" i="22"/>
  <c r="Z156" i="22"/>
  <c r="E67" i="22"/>
  <c r="EK67" i="22" s="1"/>
  <c r="W11" i="22"/>
  <c r="W177" i="22"/>
  <c r="Y86" i="22"/>
  <c r="W92" i="22"/>
  <c r="AM92" i="22" s="1"/>
  <c r="BC92" i="22" s="1"/>
  <c r="BS92" i="22" s="1"/>
  <c r="CI92" i="22" s="1"/>
  <c r="CY92" i="22" s="1"/>
  <c r="DO92" i="22" s="1"/>
  <c r="EE92" i="22" s="1"/>
  <c r="E199" i="22"/>
  <c r="EK199" i="22" s="1"/>
  <c r="E87" i="22"/>
  <c r="EK87" i="22" s="1"/>
  <c r="E99" i="22"/>
  <c r="EK99" i="22" s="1"/>
  <c r="E100" i="22"/>
  <c r="EK100" i="22" s="1"/>
  <c r="X11" i="22"/>
  <c r="V177" i="22"/>
  <c r="W16" i="22"/>
  <c r="AM16" i="22" s="1"/>
  <c r="BC16" i="22" s="1"/>
  <c r="BS16" i="22" s="1"/>
  <c r="CI16" i="22" s="1"/>
  <c r="CY16" i="22" s="1"/>
  <c r="DO16" i="22" s="1"/>
  <c r="EE16" i="22" s="1"/>
  <c r="X36" i="22"/>
  <c r="AN36" i="22" s="1"/>
  <c r="BD36" i="22" s="1"/>
  <c r="BT36" i="22" s="1"/>
  <c r="CJ36" i="22" s="1"/>
  <c r="CZ36" i="22" s="1"/>
  <c r="DP36" i="22" s="1"/>
  <c r="EF36" i="22" s="1"/>
  <c r="V53" i="22"/>
  <c r="AL53" i="22" s="1"/>
  <c r="AK53" i="22" s="1"/>
  <c r="V72" i="22"/>
  <c r="AL72" i="22" s="1"/>
  <c r="BB72" i="22" s="1"/>
  <c r="V46" i="22"/>
  <c r="AL46" i="22" s="1"/>
  <c r="BB46" i="22" s="1"/>
  <c r="G38" i="22"/>
  <c r="I38" i="22"/>
  <c r="H70" i="22"/>
  <c r="X184" i="22"/>
  <c r="AN184" i="22" s="1"/>
  <c r="BD184" i="22" s="1"/>
  <c r="BT184" i="22" s="1"/>
  <c r="CJ184" i="22" s="1"/>
  <c r="CZ184" i="22" s="1"/>
  <c r="DP184" i="22" s="1"/>
  <c r="EF184" i="22" s="1"/>
  <c r="M64" i="22"/>
  <c r="Q70" i="22"/>
  <c r="Q104" i="22"/>
  <c r="W86" i="22"/>
  <c r="AM86" i="22" s="1"/>
  <c r="BC86" i="22" s="1"/>
  <c r="BS86" i="22" s="1"/>
  <c r="CI86" i="22" s="1"/>
  <c r="CY86" i="22" s="1"/>
  <c r="DO86" i="22" s="1"/>
  <c r="EE86" i="22" s="1"/>
  <c r="V153" i="22"/>
  <c r="AL153" i="22" s="1"/>
  <c r="BB153" i="22" s="1"/>
  <c r="V136" i="22"/>
  <c r="AL136" i="22" s="1"/>
  <c r="U186" i="22"/>
  <c r="E21" i="22"/>
  <c r="EK21" i="22" s="1"/>
  <c r="E76" i="22"/>
  <c r="EK76" i="22" s="1"/>
  <c r="F97" i="22"/>
  <c r="E97" i="22" s="1"/>
  <c r="EK97" i="22" s="1"/>
  <c r="E106" i="22"/>
  <c r="EK106" i="22" s="1"/>
  <c r="G156" i="22"/>
  <c r="G170" i="22"/>
  <c r="E176" i="22"/>
  <c r="EK176" i="22" s="1"/>
  <c r="V33" i="22"/>
  <c r="V191" i="22" s="1"/>
  <c r="V117" i="22"/>
  <c r="AL117" i="22" s="1"/>
  <c r="BB117" i="22" s="1"/>
  <c r="BR117" i="22" s="1"/>
  <c r="AL86" i="22"/>
  <c r="U86" i="22"/>
  <c r="EE129" i="22"/>
  <c r="AM173" i="22"/>
  <c r="W170" i="22"/>
  <c r="AL184" i="22"/>
  <c r="AM158" i="22"/>
  <c r="W196" i="22"/>
  <c r="W156" i="22"/>
  <c r="DO112" i="22"/>
  <c r="EE40" i="22"/>
  <c r="DO106" i="22"/>
  <c r="AL176" i="22"/>
  <c r="U176" i="22"/>
  <c r="AL99" i="22"/>
  <c r="U99" i="22"/>
  <c r="AM72" i="22"/>
  <c r="BC72" i="22" s="1"/>
  <c r="BS72" i="22" s="1"/>
  <c r="CI72" i="22" s="1"/>
  <c r="CY72" i="22" s="1"/>
  <c r="DO72" i="22" s="1"/>
  <c r="W70" i="22"/>
  <c r="AL118" i="22"/>
  <c r="AM153" i="22"/>
  <c r="W151" i="22"/>
  <c r="J193" i="22"/>
  <c r="F19" i="22"/>
  <c r="V19" i="22" s="1"/>
  <c r="V193" i="22" s="1"/>
  <c r="EI27" i="22"/>
  <c r="EI200" i="22" s="1"/>
  <c r="DS200" i="22"/>
  <c r="BB53" i="22"/>
  <c r="BF59" i="22"/>
  <c r="AO59" i="22"/>
  <c r="BF66" i="22"/>
  <c r="BF64" i="22" s="1"/>
  <c r="AO66" i="22"/>
  <c r="BF72" i="22"/>
  <c r="BF70" i="22" s="1"/>
  <c r="AO72" i="22"/>
  <c r="V79" i="22"/>
  <c r="V77" i="22" s="1"/>
  <c r="DT106" i="22"/>
  <c r="DT112" i="22"/>
  <c r="V158" i="22"/>
  <c r="BH173" i="22"/>
  <c r="EF168" i="22"/>
  <c r="EI161" i="22"/>
  <c r="AL161" i="22"/>
  <c r="BT160" i="22"/>
  <c r="CJ160" i="22" s="1"/>
  <c r="CZ160" i="22" s="1"/>
  <c r="DP160" i="22" s="1"/>
  <c r="EF160" i="22" s="1"/>
  <c r="DP114" i="22"/>
  <c r="EF114" i="22" s="1"/>
  <c r="W60" i="22"/>
  <c r="AM60" i="22" s="1"/>
  <c r="BC60" i="22" s="1"/>
  <c r="BS60" i="22" s="1"/>
  <c r="E20" i="22"/>
  <c r="EK20" i="22" s="1"/>
  <c r="L198" i="22"/>
  <c r="AB25" i="22"/>
  <c r="AR25" i="22" s="1"/>
  <c r="BH25" i="22" s="1"/>
  <c r="BX25" i="22" s="1"/>
  <c r="CN25" i="22" s="1"/>
  <c r="DD25" i="22" s="1"/>
  <c r="DT25" i="22" s="1"/>
  <c r="EJ25" i="22" s="1"/>
  <c r="L202" i="22"/>
  <c r="I202" i="22" s="1"/>
  <c r="AB31" i="22"/>
  <c r="AR31" i="22" s="1"/>
  <c r="BH31" i="22" s="1"/>
  <c r="BX31" i="22" s="1"/>
  <c r="CN31" i="22" s="1"/>
  <c r="DD31" i="22" s="1"/>
  <c r="DT31" i="22" s="1"/>
  <c r="EJ31" i="22" s="1"/>
  <c r="F44" i="22"/>
  <c r="E44" i="22" s="1"/>
  <c r="EK44" i="22" s="1"/>
  <c r="E73" i="22"/>
  <c r="EK73" i="22" s="1"/>
  <c r="E86" i="22"/>
  <c r="EK86" i="22" s="1"/>
  <c r="G104" i="22"/>
  <c r="E137" i="22"/>
  <c r="EK137" i="22" s="1"/>
  <c r="M120" i="22"/>
  <c r="AA11" i="22"/>
  <c r="AA156" i="22"/>
  <c r="BC13" i="22"/>
  <c r="AM11" i="22"/>
  <c r="BH13" i="22"/>
  <c r="AR11" i="22"/>
  <c r="AO11" i="22" s="1"/>
  <c r="X16" i="22"/>
  <c r="AN16" i="22" s="1"/>
  <c r="BD16" i="22" s="1"/>
  <c r="BT16" i="22" s="1"/>
  <c r="CJ16" i="22" s="1"/>
  <c r="CZ16" i="22" s="1"/>
  <c r="DP16" i="22" s="1"/>
  <c r="EF16" i="22" s="1"/>
  <c r="X19" i="22"/>
  <c r="AN19" i="22" s="1"/>
  <c r="BD19" i="22" s="1"/>
  <c r="BT19" i="22" s="1"/>
  <c r="CJ19" i="22" s="1"/>
  <c r="CZ19" i="22" s="1"/>
  <c r="DP19" i="22" s="1"/>
  <c r="EH35" i="22"/>
  <c r="V24" i="22"/>
  <c r="V197" i="22" s="1"/>
  <c r="EI40" i="22"/>
  <c r="W46" i="22"/>
  <c r="AM46" i="22" s="1"/>
  <c r="BC46" i="22" s="1"/>
  <c r="BS46" i="22" s="1"/>
  <c r="CI46" i="22" s="1"/>
  <c r="CY46" i="22" s="1"/>
  <c r="DO46" i="22" s="1"/>
  <c r="EI46" i="22"/>
  <c r="W53" i="22"/>
  <c r="AM53" i="22" s="1"/>
  <c r="BC53" i="22" s="1"/>
  <c r="BS53" i="22" s="1"/>
  <c r="CI53" i="22" s="1"/>
  <c r="CY53" i="22" s="1"/>
  <c r="DO53" i="22" s="1"/>
  <c r="EI53" i="22"/>
  <c r="EE59" i="22"/>
  <c r="EI59" i="22"/>
  <c r="W66" i="22"/>
  <c r="AM66" i="22" s="1"/>
  <c r="BC66" i="22" s="1"/>
  <c r="BS66" i="22" s="1"/>
  <c r="CI66" i="22" s="1"/>
  <c r="CY66" i="22" s="1"/>
  <c r="DO66" i="22" s="1"/>
  <c r="EI66" i="22"/>
  <c r="EI72" i="22"/>
  <c r="W79" i="22"/>
  <c r="AM79" i="22" s="1"/>
  <c r="BC79" i="22" s="1"/>
  <c r="BS79" i="22" s="1"/>
  <c r="CI79" i="22" s="1"/>
  <c r="CY79" i="22" s="1"/>
  <c r="DO79" i="22" s="1"/>
  <c r="EJ79" i="22"/>
  <c r="EF86" i="22"/>
  <c r="EJ86" i="22"/>
  <c r="EF92" i="22"/>
  <c r="Y99" i="22"/>
  <c r="Y106" i="22"/>
  <c r="Y112" i="22"/>
  <c r="U122" i="22"/>
  <c r="Y122" i="22"/>
  <c r="EI129" i="22"/>
  <c r="EE142" i="22"/>
  <c r="AQ151" i="22"/>
  <c r="BG153" i="22"/>
  <c r="AQ156" i="22"/>
  <c r="BG158" i="22"/>
  <c r="BD165" i="22"/>
  <c r="Y173" i="22"/>
  <c r="U179" i="22"/>
  <c r="BF179" i="22"/>
  <c r="AP177" i="22"/>
  <c r="BF175" i="22"/>
  <c r="U175" i="22"/>
  <c r="DP174" i="22"/>
  <c r="EJ168" i="22"/>
  <c r="Y167" i="22"/>
  <c r="AP167" i="22"/>
  <c r="DD166" i="22"/>
  <c r="DT166" i="22" s="1"/>
  <c r="W166" i="22"/>
  <c r="AM166" i="22" s="1"/>
  <c r="BC166" i="22" s="1"/>
  <c r="BF161" i="22"/>
  <c r="Y160" i="22"/>
  <c r="AR160" i="22"/>
  <c r="BH160" i="22" s="1"/>
  <c r="Y159" i="22"/>
  <c r="AP159" i="22"/>
  <c r="AB151" i="22"/>
  <c r="AR154" i="22"/>
  <c r="BH154" i="22" s="1"/>
  <c r="BX154" i="22" s="1"/>
  <c r="CN154" i="22" s="1"/>
  <c r="DD154" i="22" s="1"/>
  <c r="DT154" i="22" s="1"/>
  <c r="EJ154" i="22" s="1"/>
  <c r="EE154" i="22"/>
  <c r="V149" i="22"/>
  <c r="U149" i="22" s="1"/>
  <c r="DP146" i="22"/>
  <c r="EJ143" i="22"/>
  <c r="W143" i="22"/>
  <c r="AM143" i="22" s="1"/>
  <c r="BC143" i="22" s="1"/>
  <c r="BS143" i="22" s="1"/>
  <c r="CI143" i="22" s="1"/>
  <c r="CY143" i="22" s="1"/>
  <c r="EJ135" i="22"/>
  <c r="EJ131" i="22"/>
  <c r="DR115" i="22"/>
  <c r="V93" i="22"/>
  <c r="AL93" i="22" s="1"/>
  <c r="BB93" i="22" s="1"/>
  <c r="X89" i="22"/>
  <c r="AN89" i="22" s="1"/>
  <c r="BD89" i="22" s="1"/>
  <c r="BT89" i="22" s="1"/>
  <c r="CJ89" i="22" s="1"/>
  <c r="CZ89" i="22" s="1"/>
  <c r="DP89" i="22" s="1"/>
  <c r="EF89" i="22" s="1"/>
  <c r="X87" i="22"/>
  <c r="AN87" i="22" s="1"/>
  <c r="V80" i="22"/>
  <c r="AL80" i="22" s="1"/>
  <c r="ED62" i="22"/>
  <c r="V60" i="22"/>
  <c r="AL60" i="22" s="1"/>
  <c r="BB60" i="22" s="1"/>
  <c r="ED48" i="22"/>
  <c r="CN183" i="22"/>
  <c r="AO184" i="22"/>
  <c r="BH184" i="22"/>
  <c r="BX184" i="22" s="1"/>
  <c r="EF186" i="22"/>
  <c r="EJ186" i="22"/>
  <c r="AK13" i="22"/>
  <c r="BB13" i="22"/>
  <c r="AL11" i="22"/>
  <c r="AQ11" i="22"/>
  <c r="BG13" i="22"/>
  <c r="BF40" i="22"/>
  <c r="AO40" i="22"/>
  <c r="BB59" i="22"/>
  <c r="AK59" i="22"/>
  <c r="EI79" i="22"/>
  <c r="DP99" i="22"/>
  <c r="DP112" i="22"/>
  <c r="EJ122" i="22"/>
  <c r="BF142" i="22"/>
  <c r="AO142" i="22"/>
  <c r="BF158" i="22"/>
  <c r="AO158" i="22"/>
  <c r="BD173" i="22"/>
  <c r="AN170" i="22"/>
  <c r="AN177" i="22"/>
  <c r="BD179" i="22"/>
  <c r="BX176" i="22"/>
  <c r="CN176" i="22" s="1"/>
  <c r="DD176" i="22" s="1"/>
  <c r="AK175" i="22"/>
  <c r="BB175" i="22"/>
  <c r="BB169" i="22"/>
  <c r="BR169" i="22" s="1"/>
  <c r="CJ166" i="22"/>
  <c r="CZ166" i="22" s="1"/>
  <c r="DP166" i="22" s="1"/>
  <c r="EH68" i="22"/>
  <c r="E16" i="22"/>
  <c r="EK16" i="22" s="1"/>
  <c r="I104" i="22"/>
  <c r="I120" i="22"/>
  <c r="I170" i="22"/>
  <c r="Q57" i="22"/>
  <c r="Q77" i="22"/>
  <c r="Q90" i="22"/>
  <c r="Q156" i="22"/>
  <c r="V11" i="22"/>
  <c r="U11" i="22" s="1"/>
  <c r="X104" i="22"/>
  <c r="X151" i="22"/>
  <c r="X170" i="22"/>
  <c r="X177" i="22"/>
  <c r="U177" i="22" s="1"/>
  <c r="AA191" i="22"/>
  <c r="X199" i="22"/>
  <c r="BD13" i="22"/>
  <c r="AN11" i="22"/>
  <c r="Z19" i="22"/>
  <c r="AP19" i="22" s="1"/>
  <c r="BF19" i="22" s="1"/>
  <c r="BV19" i="22" s="1"/>
  <c r="CL19" i="22" s="1"/>
  <c r="DB19" i="22" s="1"/>
  <c r="DR19" i="22" s="1"/>
  <c r="Z31" i="22"/>
  <c r="AP31" i="22" s="1"/>
  <c r="BF31" i="22" s="1"/>
  <c r="BV31" i="22" s="1"/>
  <c r="AB28" i="22"/>
  <c r="AR28" i="22" s="1"/>
  <c r="BH28" i="22" s="1"/>
  <c r="X27" i="22"/>
  <c r="AN27" i="22" s="1"/>
  <c r="BD27" i="22" s="1"/>
  <c r="BT27" i="22" s="1"/>
  <c r="CJ27" i="22" s="1"/>
  <c r="CZ27" i="22" s="1"/>
  <c r="DP27" i="22" s="1"/>
  <c r="V26" i="22"/>
  <c r="V199" i="22" s="1"/>
  <c r="Z28" i="22"/>
  <c r="AP28" i="22" s="1"/>
  <c r="BF28" i="22" s="1"/>
  <c r="BV28" i="22" s="1"/>
  <c r="CL28" i="22" s="1"/>
  <c r="DB28" i="22" s="1"/>
  <c r="DR28" i="22" s="1"/>
  <c r="EF40" i="22"/>
  <c r="EJ40" i="22"/>
  <c r="EF46" i="22"/>
  <c r="EJ46" i="22"/>
  <c r="EF53" i="22"/>
  <c r="EJ53" i="22"/>
  <c r="EF59" i="22"/>
  <c r="EJ59" i="22"/>
  <c r="EF66" i="22"/>
  <c r="EJ66" i="22"/>
  <c r="EF72" i="22"/>
  <c r="EJ72" i="22"/>
  <c r="EF79" i="22"/>
  <c r="Y92" i="22"/>
  <c r="AP92" i="22"/>
  <c r="AP90" i="22" s="1"/>
  <c r="AO99" i="22"/>
  <c r="BF99" i="22"/>
  <c r="V106" i="22"/>
  <c r="BF106" i="22"/>
  <c r="AO106" i="22"/>
  <c r="V112" i="22"/>
  <c r="BF112" i="22"/>
  <c r="AO112" i="22"/>
  <c r="BB122" i="22"/>
  <c r="AK122" i="22"/>
  <c r="BF122" i="22"/>
  <c r="AO122" i="22"/>
  <c r="EJ129" i="22"/>
  <c r="EF142" i="22"/>
  <c r="AN151" i="22"/>
  <c r="BD153" i="22"/>
  <c r="BH153" i="22"/>
  <c r="BD158" i="22"/>
  <c r="BH158" i="22"/>
  <c r="BV165" i="22"/>
  <c r="V173" i="22"/>
  <c r="BF173" i="22"/>
  <c r="AO173" i="22"/>
  <c r="AP170" i="22"/>
  <c r="BB179" i="22"/>
  <c r="AK179" i="22"/>
  <c r="AL177" i="22"/>
  <c r="BG179" i="22"/>
  <c r="AQ177" i="22"/>
  <c r="AO176" i="22"/>
  <c r="BF176" i="22"/>
  <c r="BV176" i="22" s="1"/>
  <c r="CZ175" i="22"/>
  <c r="DP175" i="22" s="1"/>
  <c r="EF175" i="22" s="1"/>
  <c r="Y174" i="22"/>
  <c r="AR174" i="22"/>
  <c r="BH174" i="22" s="1"/>
  <c r="BX174" i="22" s="1"/>
  <c r="CN174" i="22" s="1"/>
  <c r="DD174" i="22" s="1"/>
  <c r="DT174" i="22" s="1"/>
  <c r="DO174" i="22"/>
  <c r="AP169" i="22"/>
  <c r="V168" i="22"/>
  <c r="BW166" i="22"/>
  <c r="CM166" i="22" s="1"/>
  <c r="DC166" i="22" s="1"/>
  <c r="DS166" i="22" s="1"/>
  <c r="V166" i="22"/>
  <c r="X161" i="22"/>
  <c r="AN161" i="22" s="1"/>
  <c r="BD161" i="22" s="1"/>
  <c r="BT161" i="22" s="1"/>
  <c r="CJ161" i="22" s="1"/>
  <c r="CZ161" i="22" s="1"/>
  <c r="DP161" i="22" s="1"/>
  <c r="U160" i="22"/>
  <c r="AL160" i="22"/>
  <c r="EI154" i="22"/>
  <c r="V154" i="22"/>
  <c r="DS143" i="22"/>
  <c r="V143" i="22"/>
  <c r="AL143" i="22" s="1"/>
  <c r="V137" i="22"/>
  <c r="AL137" i="22" s="1"/>
  <c r="BB137" i="22" s="1"/>
  <c r="EF132" i="22"/>
  <c r="Z120" i="22"/>
  <c r="W123" i="22"/>
  <c r="EH75" i="22"/>
  <c r="Z57" i="22"/>
  <c r="EH55" i="22"/>
  <c r="EH48" i="22"/>
  <c r="EH42" i="22"/>
  <c r="X183" i="22"/>
  <c r="AN183" i="22" s="1"/>
  <c r="BD183" i="22" s="1"/>
  <c r="BT183" i="22" s="1"/>
  <c r="Y184" i="22"/>
  <c r="ED164" i="22"/>
  <c r="DM164" i="22"/>
  <c r="V27" i="22"/>
  <c r="W22" i="22"/>
  <c r="AM22" i="22" s="1"/>
  <c r="BC22" i="22" s="1"/>
  <c r="BS22" i="22" s="1"/>
  <c r="CI22" i="22" s="1"/>
  <c r="CY22" i="22" s="1"/>
  <c r="DO22" i="22" s="1"/>
  <c r="V40" i="22"/>
  <c r="V38" i="22" s="1"/>
  <c r="BF46" i="22"/>
  <c r="BF44" i="22" s="1"/>
  <c r="AO46" i="22"/>
  <c r="AO53" i="22"/>
  <c r="BF53" i="22"/>
  <c r="EJ92" i="22"/>
  <c r="EF106" i="22"/>
  <c r="EF122" i="22"/>
  <c r="BF153" i="22"/>
  <c r="AO153" i="22"/>
  <c r="BH165" i="22"/>
  <c r="BE165" i="22" s="1"/>
  <c r="BF174" i="22"/>
  <c r="U167" i="22"/>
  <c r="AL167" i="22"/>
  <c r="U159" i="22"/>
  <c r="AL159" i="22"/>
  <c r="DR148" i="22"/>
  <c r="EI132" i="22"/>
  <c r="DN115" i="22"/>
  <c r="EH56" i="22"/>
  <c r="AL183" i="22"/>
  <c r="I77" i="22"/>
  <c r="I84" i="22"/>
  <c r="E11" i="22"/>
  <c r="EK11" i="22" s="1"/>
  <c r="F77" i="22"/>
  <c r="E95" i="22"/>
  <c r="EK95" i="22" s="1"/>
  <c r="H194" i="22"/>
  <c r="E118" i="22"/>
  <c r="EK118" i="22" s="1"/>
  <c r="G126" i="22"/>
  <c r="I140" i="22"/>
  <c r="F156" i="22"/>
  <c r="I169" i="22"/>
  <c r="AB169" i="22"/>
  <c r="AR169" i="22" s="1"/>
  <c r="BH169" i="22" s="1"/>
  <c r="E177" i="22"/>
  <c r="EK177" i="22" s="1"/>
  <c r="Q84" i="22"/>
  <c r="Q191" i="22"/>
  <c r="U13" i="22"/>
  <c r="Z151" i="22"/>
  <c r="AA162" i="22"/>
  <c r="Z170" i="22"/>
  <c r="AA201" i="22"/>
  <c r="AO13" i="22"/>
  <c r="BF13" i="22"/>
  <c r="V16" i="22"/>
  <c r="AL16" i="22" s="1"/>
  <c r="BB16" i="22" s="1"/>
  <c r="BR16" i="22" s="1"/>
  <c r="W33" i="22"/>
  <c r="AM33" i="22" s="1"/>
  <c r="BC33" i="22" s="1"/>
  <c r="EJ27" i="22"/>
  <c r="W27" i="22"/>
  <c r="AM27" i="22" s="1"/>
  <c r="BC27" i="22" s="1"/>
  <c r="BS27" i="22" s="1"/>
  <c r="CI27" i="22" s="1"/>
  <c r="CI200" i="22" s="1"/>
  <c r="V23" i="22"/>
  <c r="X22" i="22"/>
  <c r="AN22" i="22" s="1"/>
  <c r="BD22" i="22" s="1"/>
  <c r="BT22" i="22" s="1"/>
  <c r="CJ22" i="22" s="1"/>
  <c r="CZ22" i="22" s="1"/>
  <c r="DP22" i="22" s="1"/>
  <c r="Y40" i="22"/>
  <c r="Y46" i="22"/>
  <c r="U53" i="22"/>
  <c r="Y53" i="22"/>
  <c r="U59" i="22"/>
  <c r="Y59" i="22"/>
  <c r="Y66" i="22"/>
  <c r="U72" i="22"/>
  <c r="Y72" i="22"/>
  <c r="Y79" i="22"/>
  <c r="AP79" i="22"/>
  <c r="AO86" i="22"/>
  <c r="BF86" i="22"/>
  <c r="V92" i="22"/>
  <c r="W99" i="22"/>
  <c r="AM99" i="22" s="1"/>
  <c r="BC99" i="22" s="1"/>
  <c r="BS99" i="22" s="1"/>
  <c r="CI99" i="22" s="1"/>
  <c r="CY99" i="22" s="1"/>
  <c r="EI99" i="22"/>
  <c r="DS106" i="22"/>
  <c r="DS112" i="22"/>
  <c r="DO122" i="22"/>
  <c r="EE122" i="22" s="1"/>
  <c r="DS122" i="22"/>
  <c r="EI122" i="22" s="1"/>
  <c r="EF129" i="22"/>
  <c r="Y142" i="22"/>
  <c r="U153" i="22"/>
  <c r="Y153" i="22"/>
  <c r="Y158" i="22"/>
  <c r="V165" i="22"/>
  <c r="AL165" i="22" s="1"/>
  <c r="AQ162" i="22"/>
  <c r="BG165" i="22"/>
  <c r="BW165" i="22" s="1"/>
  <c r="BG173" i="22"/>
  <c r="AQ170" i="22"/>
  <c r="BC179" i="22"/>
  <c r="BC193" i="22" s="1"/>
  <c r="AM177" i="22"/>
  <c r="Y179" i="22"/>
  <c r="AR179" i="22"/>
  <c r="DP176" i="22"/>
  <c r="EF176" i="22" s="1"/>
  <c r="Y175" i="22"/>
  <c r="AR175" i="22"/>
  <c r="BH175" i="22" s="1"/>
  <c r="BX175" i="22" s="1"/>
  <c r="CN175" i="22" s="1"/>
  <c r="EI174" i="22"/>
  <c r="V174" i="22"/>
  <c r="Y168" i="22"/>
  <c r="AP168" i="22"/>
  <c r="Y166" i="22"/>
  <c r="AP166" i="22"/>
  <c r="Y161" i="22"/>
  <c r="AR161" i="22"/>
  <c r="BH161" i="22" s="1"/>
  <c r="BX161" i="22" s="1"/>
  <c r="CN161" i="22" s="1"/>
  <c r="DD161" i="22" s="1"/>
  <c r="DT161" i="22" s="1"/>
  <c r="EE161" i="22"/>
  <c r="BF160" i="22"/>
  <c r="BV160" i="22" s="1"/>
  <c r="AB156" i="22"/>
  <c r="Y156" i="22" s="1"/>
  <c r="AR159" i="22"/>
  <c r="BH159" i="22" s="1"/>
  <c r="BX159" i="22" s="1"/>
  <c r="CN159" i="22" s="1"/>
  <c r="DD159" i="22" s="1"/>
  <c r="DT159" i="22" s="1"/>
  <c r="EJ159" i="22" s="1"/>
  <c r="EE159" i="22"/>
  <c r="Y154" i="22"/>
  <c r="AP154" i="22"/>
  <c r="AP151" i="22" s="1"/>
  <c r="W136" i="22"/>
  <c r="AM136" i="22" s="1"/>
  <c r="BC136" i="22" s="1"/>
  <c r="BS136" i="22" s="1"/>
  <c r="CI136" i="22" s="1"/>
  <c r="CY136" i="22" s="1"/>
  <c r="DO136" i="22" s="1"/>
  <c r="EE136" i="22" s="1"/>
  <c r="DT134" i="22"/>
  <c r="EJ134" i="22" s="1"/>
  <c r="EJ132" i="22"/>
  <c r="EE132" i="22"/>
  <c r="V123" i="22"/>
  <c r="AL123" i="22" s="1"/>
  <c r="AL120" i="22" s="1"/>
  <c r="X118" i="22"/>
  <c r="AN118" i="22" s="1"/>
  <c r="BD118" i="22" s="1"/>
  <c r="BT118" i="22" s="1"/>
  <c r="CJ118" i="22" s="1"/>
  <c r="CZ118" i="22" s="1"/>
  <c r="EF102" i="22"/>
  <c r="X82" i="22"/>
  <c r="AN82" i="22" s="1"/>
  <c r="BD82" i="22" s="1"/>
  <c r="BT82" i="22" s="1"/>
  <c r="CJ82" i="22" s="1"/>
  <c r="CZ82" i="22" s="1"/>
  <c r="DP82" i="22" s="1"/>
  <c r="EF82" i="22" s="1"/>
  <c r="V76" i="22"/>
  <c r="V70" i="22" s="1"/>
  <c r="V61" i="22"/>
  <c r="AL61" i="22" s="1"/>
  <c r="AK61" i="22" s="1"/>
  <c r="X60" i="22"/>
  <c r="AN60" i="22" s="1"/>
  <c r="BD60" i="22" s="1"/>
  <c r="BT60" i="22" s="1"/>
  <c r="CJ60" i="22" s="1"/>
  <c r="CZ60" i="22" s="1"/>
  <c r="DP60" i="22" s="1"/>
  <c r="EF60" i="22" s="1"/>
  <c r="ED56" i="22"/>
  <c r="V54" i="22"/>
  <c r="AL54" i="22" s="1"/>
  <c r="BB54" i="22" s="1"/>
  <c r="BR54" i="22" s="1"/>
  <c r="V47" i="22"/>
  <c r="AL47" i="22" s="1"/>
  <c r="BB47" i="22" s="1"/>
  <c r="BR47" i="22" s="1"/>
  <c r="CH47" i="22" s="1"/>
  <c r="CX47" i="22" s="1"/>
  <c r="DN47" i="22" s="1"/>
  <c r="Y183" i="22"/>
  <c r="AP183" i="22"/>
  <c r="BE184" i="22"/>
  <c r="BV184" i="22"/>
  <c r="CL184" i="22" s="1"/>
  <c r="DB184" i="22" s="1"/>
  <c r="BB186" i="22"/>
  <c r="AK186" i="22"/>
  <c r="BF186" i="22"/>
  <c r="AO186" i="22"/>
  <c r="ED83" i="22"/>
  <c r="EC83" i="22" s="1"/>
  <c r="EL83" i="22" s="1"/>
  <c r="DM83" i="22"/>
  <c r="W44" i="22"/>
  <c r="U94" i="22"/>
  <c r="V84" i="22"/>
  <c r="CM44" i="22"/>
  <c r="DC47" i="22"/>
  <c r="V97" i="22"/>
  <c r="AA90" i="22"/>
  <c r="AA196" i="22"/>
  <c r="Z199" i="22"/>
  <c r="DC200" i="22"/>
  <c r="Z97" i="22"/>
  <c r="U132" i="22"/>
  <c r="I126" i="22"/>
  <c r="U129" i="22"/>
  <c r="Y129" i="22"/>
  <c r="V131" i="22"/>
  <c r="AL131" i="22" s="1"/>
  <c r="BB131" i="22" s="1"/>
  <c r="BB129" i="22"/>
  <c r="AK129" i="22"/>
  <c r="BF129" i="22"/>
  <c r="AO129" i="22"/>
  <c r="Z44" i="22"/>
  <c r="Z126" i="22"/>
  <c r="W38" i="22"/>
  <c r="AA199" i="22"/>
  <c r="AA14" i="22"/>
  <c r="W51" i="22"/>
  <c r="X64" i="22"/>
  <c r="X70" i="22"/>
  <c r="AA77" i="22"/>
  <c r="AA84" i="22"/>
  <c r="AA97" i="22"/>
  <c r="X126" i="22"/>
  <c r="W197" i="22"/>
  <c r="Y31" i="22"/>
  <c r="CM200" i="22"/>
  <c r="U136" i="22"/>
  <c r="BS44" i="22"/>
  <c r="CI47" i="22"/>
  <c r="X120" i="22"/>
  <c r="AA104" i="22"/>
  <c r="U138" i="22"/>
  <c r="Z51" i="22"/>
  <c r="AA64" i="22"/>
  <c r="AA70" i="22"/>
  <c r="X197" i="22"/>
  <c r="U134" i="22"/>
  <c r="U124" i="22"/>
  <c r="U115" i="22"/>
  <c r="U96" i="22"/>
  <c r="I110" i="22"/>
  <c r="Q64" i="22"/>
  <c r="E64" i="22"/>
  <c r="EK64" i="22" s="1"/>
  <c r="X51" i="22"/>
  <c r="BX138" i="22"/>
  <c r="CN138" i="22" s="1"/>
  <c r="BR133" i="22"/>
  <c r="CH133" i="22" s="1"/>
  <c r="CX133" i="22" s="1"/>
  <c r="DN133" i="22" s="1"/>
  <c r="BC130" i="22"/>
  <c r="AK123" i="22"/>
  <c r="BD123" i="22"/>
  <c r="AN120" i="22"/>
  <c r="Y118" i="22"/>
  <c r="AR118" i="22"/>
  <c r="BH118" i="22" s="1"/>
  <c r="BX118" i="22" s="1"/>
  <c r="CN118" i="22" s="1"/>
  <c r="DD118" i="22" s="1"/>
  <c r="BV116" i="22"/>
  <c r="CL116" i="22" s="1"/>
  <c r="DB116" i="22" s="1"/>
  <c r="Y108" i="22"/>
  <c r="AP108" i="22"/>
  <c r="BC107" i="22"/>
  <c r="AM104" i="22"/>
  <c r="Y102" i="22"/>
  <c r="AP102" i="22"/>
  <c r="BF94" i="22"/>
  <c r="BV94" i="22" s="1"/>
  <c r="CL94" i="22" s="1"/>
  <c r="DB94" i="22" s="1"/>
  <c r="DR94" i="22" s="1"/>
  <c r="BC87" i="22"/>
  <c r="BV73" i="22"/>
  <c r="CL73" i="22" s="1"/>
  <c r="DB73" i="22" s="1"/>
  <c r="DR73" i="22" s="1"/>
  <c r="BA56" i="22"/>
  <c r="BT56" i="22"/>
  <c r="AK55" i="22"/>
  <c r="BB55" i="22"/>
  <c r="BR55" i="22" s="1"/>
  <c r="CH55" i="22" s="1"/>
  <c r="CX55" i="22" s="1"/>
  <c r="DN55" i="22" s="1"/>
  <c r="BR42" i="22"/>
  <c r="CH42" i="22" s="1"/>
  <c r="CX42" i="22" s="1"/>
  <c r="DN42" i="22" s="1"/>
  <c r="BT41" i="22"/>
  <c r="CJ41" i="22" s="1"/>
  <c r="CZ41" i="22" s="1"/>
  <c r="DP41" i="22" s="1"/>
  <c r="EF41" i="22" s="1"/>
  <c r="X38" i="22"/>
  <c r="AA44" i="22"/>
  <c r="AA57" i="22"/>
  <c r="Z64" i="22"/>
  <c r="X90" i="22"/>
  <c r="W104" i="22"/>
  <c r="X196" i="22"/>
  <c r="BV36" i="22"/>
  <c r="CL36" i="22" s="1"/>
  <c r="DB36" i="22" s="1"/>
  <c r="BV34" i="22"/>
  <c r="CL34" i="22" s="1"/>
  <c r="DB34" i="22" s="1"/>
  <c r="DR34" i="22" s="1"/>
  <c r="Y149" i="22"/>
  <c r="AR149" i="22"/>
  <c r="BH149" i="22" s="1"/>
  <c r="BX149" i="22" s="1"/>
  <c r="CN149" i="22" s="1"/>
  <c r="DD149" i="22" s="1"/>
  <c r="DT149" i="22" s="1"/>
  <c r="EJ149" i="22" s="1"/>
  <c r="AK138" i="22"/>
  <c r="BB138" i="22"/>
  <c r="Y137" i="22"/>
  <c r="AP137" i="22"/>
  <c r="BF137" i="22" s="1"/>
  <c r="BT136" i="22"/>
  <c r="CJ136" i="22" s="1"/>
  <c r="CZ136" i="22" s="1"/>
  <c r="DP136" i="22" s="1"/>
  <c r="EF136" i="22" s="1"/>
  <c r="AK134" i="22"/>
  <c r="BB134" i="22"/>
  <c r="Y133" i="22"/>
  <c r="AP133" i="22"/>
  <c r="BF133" i="22" s="1"/>
  <c r="U133" i="22"/>
  <c r="AQ126" i="22"/>
  <c r="BG130" i="22"/>
  <c r="BG195" i="22" s="1"/>
  <c r="U130" i="22"/>
  <c r="AL130" i="22"/>
  <c r="AR120" i="22"/>
  <c r="BH123" i="22"/>
  <c r="BF117" i="22"/>
  <c r="BV117" i="22" s="1"/>
  <c r="CL117" i="22" s="1"/>
  <c r="DB117" i="22" s="1"/>
  <c r="BV114" i="22"/>
  <c r="CL114" i="22" s="1"/>
  <c r="DB114" i="22" s="1"/>
  <c r="DR114" i="22" s="1"/>
  <c r="BS113" i="22"/>
  <c r="BC110" i="22"/>
  <c r="BG107" i="22"/>
  <c r="AQ104" i="22"/>
  <c r="U107" i="22"/>
  <c r="AL107" i="22"/>
  <c r="U101" i="22"/>
  <c r="AL101" i="22"/>
  <c r="X97" i="22"/>
  <c r="AN100" i="22"/>
  <c r="BB96" i="22"/>
  <c r="BR96" i="22" s="1"/>
  <c r="CH96" i="22" s="1"/>
  <c r="CX96" i="22" s="1"/>
  <c r="DN96" i="22" s="1"/>
  <c r="AK96" i="22"/>
  <c r="BF95" i="22"/>
  <c r="U95" i="22"/>
  <c r="BX93" i="22"/>
  <c r="CN93" i="22" s="1"/>
  <c r="DD93" i="22" s="1"/>
  <c r="DT93" i="22" s="1"/>
  <c r="EJ93" i="22" s="1"/>
  <c r="BC93" i="22"/>
  <c r="AL89" i="22"/>
  <c r="BG87" i="22"/>
  <c r="AQ84" i="22"/>
  <c r="AL87" i="22"/>
  <c r="AK81" i="22"/>
  <c r="BB81" i="22"/>
  <c r="BD80" i="22"/>
  <c r="BT80" i="22" s="1"/>
  <c r="CJ80" i="22" s="1"/>
  <c r="CZ80" i="22" s="1"/>
  <c r="DP80" i="22" s="1"/>
  <c r="EF80" i="22" s="1"/>
  <c r="BT73" i="22"/>
  <c r="CJ73" i="22" s="1"/>
  <c r="BD70" i="22"/>
  <c r="BT67" i="22"/>
  <c r="CJ67" i="22" s="1"/>
  <c r="CZ67" i="22" s="1"/>
  <c r="DP67" i="22" s="1"/>
  <c r="EF67" i="22" s="1"/>
  <c r="BD64" i="22"/>
  <c r="BA63" i="22"/>
  <c r="BR63" i="22"/>
  <c r="BA62" i="22"/>
  <c r="BT62" i="22"/>
  <c r="BS54" i="22"/>
  <c r="CI54" i="22" s="1"/>
  <c r="BS41" i="22"/>
  <c r="BC38" i="22"/>
  <c r="Y132" i="22"/>
  <c r="AP132" i="22"/>
  <c r="AB126" i="22"/>
  <c r="AR130" i="22"/>
  <c r="BT113" i="22"/>
  <c r="CJ113" i="22" s="1"/>
  <c r="CZ113" i="22" s="1"/>
  <c r="DP113" i="22" s="1"/>
  <c r="EF113" i="22" s="1"/>
  <c r="BD93" i="22"/>
  <c r="AN90" i="22"/>
  <c r="Y89" i="22"/>
  <c r="AR89" i="22"/>
  <c r="BH89" i="22" s="1"/>
  <c r="BX89" i="22" s="1"/>
  <c r="CN89" i="22" s="1"/>
  <c r="DD89" i="22" s="1"/>
  <c r="DT89" i="22" s="1"/>
  <c r="EJ89" i="22" s="1"/>
  <c r="AB84" i="22"/>
  <c r="AR87" i="22"/>
  <c r="AO87" i="22" s="1"/>
  <c r="BW60" i="22"/>
  <c r="BG57" i="22"/>
  <c r="AA38" i="22"/>
  <c r="V51" i="22"/>
  <c r="AA51" i="22"/>
  <c r="Z70" i="22"/>
  <c r="Z84" i="22"/>
  <c r="Y84" i="22" s="1"/>
  <c r="Z90" i="22"/>
  <c r="AA126" i="22"/>
  <c r="AA195" i="22"/>
  <c r="AA197" i="22"/>
  <c r="BT148" i="22"/>
  <c r="CJ148" i="22" s="1"/>
  <c r="CZ148" i="22" s="1"/>
  <c r="DP148" i="22" s="1"/>
  <c r="EF148" i="22" s="1"/>
  <c r="Y138" i="22"/>
  <c r="AP138" i="22"/>
  <c r="BX136" i="22"/>
  <c r="CN136" i="22" s="1"/>
  <c r="DD136" i="22" s="1"/>
  <c r="DT136" i="22" s="1"/>
  <c r="EJ136" i="22" s="1"/>
  <c r="BB135" i="22"/>
  <c r="AK135" i="22"/>
  <c r="Y134" i="22"/>
  <c r="AP134" i="22"/>
  <c r="AK133" i="22"/>
  <c r="BD133" i="22"/>
  <c r="BT133" i="22" s="1"/>
  <c r="CJ133" i="22" s="1"/>
  <c r="CZ133" i="22" s="1"/>
  <c r="DP133" i="22" s="1"/>
  <c r="EF133" i="22" s="1"/>
  <c r="Y130" i="22"/>
  <c r="AP130" i="22"/>
  <c r="AA120" i="22"/>
  <c r="AQ123" i="22"/>
  <c r="AQ189" i="22" s="1"/>
  <c r="BF118" i="22"/>
  <c r="BT117" i="22"/>
  <c r="CJ117" i="22" s="1"/>
  <c r="CZ117" i="22" s="1"/>
  <c r="DP117" i="22" s="1"/>
  <c r="EF117" i="22" s="1"/>
  <c r="BW113" i="22"/>
  <c r="BG110" i="22"/>
  <c r="Y107" i="22"/>
  <c r="AP107" i="22"/>
  <c r="BX102" i="22"/>
  <c r="CN102" i="22" s="1"/>
  <c r="DD102" i="22" s="1"/>
  <c r="DT102" i="22" s="1"/>
  <c r="EJ102" i="22" s="1"/>
  <c r="Y101" i="22"/>
  <c r="AP101" i="22"/>
  <c r="AB97" i="22"/>
  <c r="AR100" i="22"/>
  <c r="BC100" i="22"/>
  <c r="AM97" i="22"/>
  <c r="BF96" i="22"/>
  <c r="BV96" i="22" s="1"/>
  <c r="CL96" i="22" s="1"/>
  <c r="DB96" i="22" s="1"/>
  <c r="DR96" i="22" s="1"/>
  <c r="Y94" i="22"/>
  <c r="AR94" i="22"/>
  <c r="BH94" i="22" s="1"/>
  <c r="AQ90" i="22"/>
  <c r="BG93" i="22"/>
  <c r="BF89" i="22"/>
  <c r="Y88" i="22"/>
  <c r="AR88" i="22"/>
  <c r="BH88" i="22" s="1"/>
  <c r="BX88" i="22" s="1"/>
  <c r="CN88" i="22" s="1"/>
  <c r="DD88" i="22" s="1"/>
  <c r="DT88" i="22" s="1"/>
  <c r="EJ88" i="22" s="1"/>
  <c r="BF87" i="22"/>
  <c r="AP84" i="22"/>
  <c r="BV81" i="22"/>
  <c r="BE81" i="22"/>
  <c r="BS80" i="22"/>
  <c r="BV76" i="22"/>
  <c r="CL76" i="22" s="1"/>
  <c r="DB76" i="22" s="1"/>
  <c r="DR76" i="22" s="1"/>
  <c r="BV74" i="22"/>
  <c r="CL74" i="22" s="1"/>
  <c r="DB74" i="22" s="1"/>
  <c r="DR74" i="22" s="1"/>
  <c r="BS73" i="22"/>
  <c r="BS67" i="22"/>
  <c r="BX62" i="22"/>
  <c r="CN62" i="22" s="1"/>
  <c r="DD62" i="22" s="1"/>
  <c r="DT62" i="22" s="1"/>
  <c r="EJ62" i="22" s="1"/>
  <c r="BT55" i="22"/>
  <c r="CJ55" i="22" s="1"/>
  <c r="CZ55" i="22" s="1"/>
  <c r="DP55" i="22" s="1"/>
  <c r="EF55" i="22" s="1"/>
  <c r="BW54" i="22"/>
  <c r="BG51" i="22"/>
  <c r="BW44" i="22"/>
  <c r="BA47" i="22"/>
  <c r="BW41" i="22"/>
  <c r="BG38" i="22"/>
  <c r="BA41" i="22"/>
  <c r="BR41" i="22"/>
  <c r="CH41" i="22" s="1"/>
  <c r="CX41" i="22" s="1"/>
  <c r="DN41" i="22" s="1"/>
  <c r="BF143" i="22"/>
  <c r="AO143" i="22"/>
  <c r="Y136" i="22"/>
  <c r="AP136" i="22"/>
  <c r="Y124" i="22"/>
  <c r="AP124" i="22"/>
  <c r="BR114" i="22"/>
  <c r="BA114" i="22"/>
  <c r="AB104" i="22"/>
  <c r="AR107" i="22"/>
  <c r="Y100" i="22"/>
  <c r="AP100" i="22"/>
  <c r="Y96" i="22"/>
  <c r="AR96" i="22"/>
  <c r="BH96" i="22" s="1"/>
  <c r="BB95" i="22"/>
  <c r="AK95" i="22"/>
  <c r="BF88" i="22"/>
  <c r="BV67" i="22"/>
  <c r="CL67" i="22" s="1"/>
  <c r="DB67" i="22" s="1"/>
  <c r="DR67" i="22" s="1"/>
  <c r="BT54" i="22"/>
  <c r="CJ54" i="22" s="1"/>
  <c r="CZ54" i="22" s="1"/>
  <c r="DP54" i="22" s="1"/>
  <c r="EF54" i="22" s="1"/>
  <c r="BD51" i="22"/>
  <c r="X44" i="22"/>
  <c r="Z104" i="22"/>
  <c r="W126" i="22"/>
  <c r="Z201" i="22"/>
  <c r="AO36" i="22"/>
  <c r="BH36" i="22"/>
  <c r="BX36" i="22" s="1"/>
  <c r="CN36" i="22" s="1"/>
  <c r="DD36" i="22" s="1"/>
  <c r="DT36" i="22" s="1"/>
  <c r="EJ36" i="22" s="1"/>
  <c r="BV33" i="22"/>
  <c r="CL33" i="22" s="1"/>
  <c r="DB33" i="22" s="1"/>
  <c r="DR33" i="22" s="1"/>
  <c r="BF191" i="22"/>
  <c r="BW200" i="22"/>
  <c r="BF149" i="22"/>
  <c r="BH137" i="22"/>
  <c r="BX137" i="22" s="1"/>
  <c r="CN137" i="22" s="1"/>
  <c r="DD137" i="22" s="1"/>
  <c r="DT137" i="22" s="1"/>
  <c r="AK136" i="22"/>
  <c r="BB136" i="22"/>
  <c r="BR136" i="22" s="1"/>
  <c r="Y135" i="22"/>
  <c r="AP135" i="22"/>
  <c r="U135" i="22"/>
  <c r="BH133" i="22"/>
  <c r="BX133" i="22" s="1"/>
  <c r="CN133" i="22" s="1"/>
  <c r="DD133" i="22" s="1"/>
  <c r="DT133" i="22" s="1"/>
  <c r="BB132" i="22"/>
  <c r="AK132" i="22"/>
  <c r="Y131" i="22"/>
  <c r="AP131" i="22"/>
  <c r="BD130" i="22"/>
  <c r="AN126" i="22"/>
  <c r="AK124" i="22"/>
  <c r="BB124" i="22"/>
  <c r="Y123" i="22"/>
  <c r="AP123" i="22"/>
  <c r="Y117" i="22"/>
  <c r="AR117" i="22"/>
  <c r="BH117" i="22" s="1"/>
  <c r="BR116" i="22"/>
  <c r="BA116" i="22"/>
  <c r="BA115" i="22"/>
  <c r="BT115" i="22"/>
  <c r="BV113" i="22"/>
  <c r="CL113" i="22" s="1"/>
  <c r="DB113" i="22" s="1"/>
  <c r="U108" i="22"/>
  <c r="AL108" i="22"/>
  <c r="BD107" i="22"/>
  <c r="AN104" i="22"/>
  <c r="U102" i="22"/>
  <c r="AL102" i="22"/>
  <c r="BG100" i="22"/>
  <c r="AQ97" i="22"/>
  <c r="U100" i="22"/>
  <c r="AL100" i="22"/>
  <c r="BT96" i="22"/>
  <c r="CJ96" i="22" s="1"/>
  <c r="CZ96" i="22" s="1"/>
  <c r="Y95" i="22"/>
  <c r="AR95" i="22"/>
  <c r="BB94" i="22"/>
  <c r="AK94" i="22"/>
  <c r="AO93" i="22"/>
  <c r="BF93" i="22"/>
  <c r="U88" i="22"/>
  <c r="AL88" i="22"/>
  <c r="BR82" i="22"/>
  <c r="BT81" i="22"/>
  <c r="CJ81" i="22" s="1"/>
  <c r="CZ81" i="22" s="1"/>
  <c r="DP81" i="22" s="1"/>
  <c r="EF81" i="22" s="1"/>
  <c r="BG77" i="22"/>
  <c r="BW80" i="22"/>
  <c r="BB80" i="22"/>
  <c r="BW73" i="22"/>
  <c r="BG70" i="22"/>
  <c r="BT68" i="22"/>
  <c r="CJ68" i="22" s="1"/>
  <c r="CZ68" i="22" s="1"/>
  <c r="DP68" i="22" s="1"/>
  <c r="EF68" i="22" s="1"/>
  <c r="BW67" i="22"/>
  <c r="BG64" i="22"/>
  <c r="BA67" i="22"/>
  <c r="BR67" i="22"/>
  <c r="CH67" i="22" s="1"/>
  <c r="CX67" i="22" s="1"/>
  <c r="DN67" i="22" s="1"/>
  <c r="AP51" i="22"/>
  <c r="BF54" i="22"/>
  <c r="BV47" i="22"/>
  <c r="CL47" i="22" s="1"/>
  <c r="DB47" i="22" s="1"/>
  <c r="DR47" i="22" s="1"/>
  <c r="BV146" i="22"/>
  <c r="CL146" i="22" s="1"/>
  <c r="DB146" i="22" s="1"/>
  <c r="BS144" i="22"/>
  <c r="BW144" i="22"/>
  <c r="BG140" i="22"/>
  <c r="BT144" i="22"/>
  <c r="CJ144" i="22" s="1"/>
  <c r="BD140" i="22"/>
  <c r="AA140" i="22"/>
  <c r="BV147" i="22"/>
  <c r="CL147" i="22" s="1"/>
  <c r="DB147" i="22" s="1"/>
  <c r="BV144" i="22"/>
  <c r="CL144" i="22" s="1"/>
  <c r="DB144" i="22" s="1"/>
  <c r="BV16" i="22"/>
  <c r="BE16" i="22"/>
  <c r="BT35" i="22"/>
  <c r="CJ35" i="22" s="1"/>
  <c r="CZ35" i="22" s="1"/>
  <c r="DP35" i="22" s="1"/>
  <c r="EF35" i="22" s="1"/>
  <c r="BC28" i="22"/>
  <c r="AM199" i="22"/>
  <c r="BC26" i="22"/>
  <c r="BW22" i="22"/>
  <c r="CM22" i="22" s="1"/>
  <c r="DC22" i="22" s="1"/>
  <c r="DS22" i="22" s="1"/>
  <c r="BT21" i="22"/>
  <c r="CJ21" i="22" s="1"/>
  <c r="CZ21" i="22" s="1"/>
  <c r="DP21" i="22" s="1"/>
  <c r="BS19" i="22"/>
  <c r="CI19" i="22" s="1"/>
  <c r="CY19" i="22" s="1"/>
  <c r="DO19" i="22" s="1"/>
  <c r="BW19" i="22"/>
  <c r="CM19" i="22" s="1"/>
  <c r="DC19" i="22" s="1"/>
  <c r="DS19" i="22" s="1"/>
  <c r="AQ199" i="22"/>
  <c r="BG26" i="22"/>
  <c r="BS25" i="22"/>
  <c r="AO24" i="22"/>
  <c r="BF24" i="22"/>
  <c r="BX23" i="22"/>
  <c r="BH196" i="22"/>
  <c r="BC23" i="22"/>
  <c r="AO22" i="22"/>
  <c r="BF22" i="22"/>
  <c r="BS21" i="22"/>
  <c r="CI21" i="22" s="1"/>
  <c r="CY21" i="22" s="1"/>
  <c r="DO21" i="22" s="1"/>
  <c r="EE21" i="22" s="1"/>
  <c r="BV20" i="22"/>
  <c r="CL20" i="22" s="1"/>
  <c r="DB20" i="22" s="1"/>
  <c r="DR20" i="22" s="1"/>
  <c r="AK18" i="22"/>
  <c r="BB18" i="22"/>
  <c r="BR18" i="22" s="1"/>
  <c r="BV27" i="22"/>
  <c r="CL27" i="22" s="1"/>
  <c r="DB27" i="22" s="1"/>
  <c r="BE27" i="22"/>
  <c r="AQ197" i="22"/>
  <c r="BG24" i="22"/>
  <c r="BT18" i="22"/>
  <c r="CJ18" i="22" s="1"/>
  <c r="CZ18" i="22" s="1"/>
  <c r="DP18" i="22" s="1"/>
  <c r="EF18" i="22" s="1"/>
  <c r="BX18" i="22"/>
  <c r="CN18" i="22" s="1"/>
  <c r="DD18" i="22" s="1"/>
  <c r="DT18" i="22" s="1"/>
  <c r="EJ18" i="22" s="1"/>
  <c r="BX19" i="22"/>
  <c r="CN19" i="22" s="1"/>
  <c r="DD19" i="22" s="1"/>
  <c r="DT19" i="22" s="1"/>
  <c r="AQ191" i="22"/>
  <c r="BG33" i="22"/>
  <c r="AQ201" i="22"/>
  <c r="BG28" i="22"/>
  <c r="BV26" i="22"/>
  <c r="CL26" i="22" s="1"/>
  <c r="DB26" i="22" s="1"/>
  <c r="DR26" i="22" s="1"/>
  <c r="BW25" i="22"/>
  <c r="BB25" i="22"/>
  <c r="AN197" i="22"/>
  <c r="BD24" i="22"/>
  <c r="AQ196" i="22"/>
  <c r="BG23" i="22"/>
  <c r="BW21" i="22"/>
  <c r="CM21" i="22" s="1"/>
  <c r="DC21" i="22" s="1"/>
  <c r="DS21" i="22" s="1"/>
  <c r="EI21" i="22" s="1"/>
  <c r="BD20" i="22"/>
  <c r="AO18" i="22"/>
  <c r="BF18" i="22"/>
  <c r="BV18" i="22" s="1"/>
  <c r="CL18" i="22" s="1"/>
  <c r="DB18" i="22" s="1"/>
  <c r="DR18" i="22" s="1"/>
  <c r="BW31" i="22"/>
  <c r="CM31" i="22" s="1"/>
  <c r="DC31" i="22" s="1"/>
  <c r="DS31" i="22" s="1"/>
  <c r="EI31" i="22" s="1"/>
  <c r="BT23" i="22"/>
  <c r="BW20" i="22"/>
  <c r="CM20" i="22" s="1"/>
  <c r="DC20" i="22" s="1"/>
  <c r="DS20" i="22" s="1"/>
  <c r="EI20" i="22" s="1"/>
  <c r="U18" i="22"/>
  <c r="Y18" i="22"/>
  <c r="BC31" i="22"/>
  <c r="AN199" i="22"/>
  <c r="BD26" i="22"/>
  <c r="AO25" i="22"/>
  <c r="BF25" i="22"/>
  <c r="AR197" i="22"/>
  <c r="BH24" i="22"/>
  <c r="AM197" i="22"/>
  <c r="BC24" i="22"/>
  <c r="BX22" i="22"/>
  <c r="CN22" i="22" s="1"/>
  <c r="DD22" i="22" s="1"/>
  <c r="DT22" i="22" s="1"/>
  <c r="BV21" i="22"/>
  <c r="CL21" i="22" s="1"/>
  <c r="DB21" i="22" s="1"/>
  <c r="DR21" i="22" s="1"/>
  <c r="EH21" i="22" s="1"/>
  <c r="BS20" i="22"/>
  <c r="CI20" i="22" s="1"/>
  <c r="CY20" i="22" s="1"/>
  <c r="DO20" i="22" s="1"/>
  <c r="EE20" i="22" s="1"/>
  <c r="I44" i="22"/>
  <c r="U48" i="22"/>
  <c r="AN44" i="22"/>
  <c r="AK48" i="22"/>
  <c r="BD48" i="22"/>
  <c r="M44" i="22"/>
  <c r="BC44" i="22"/>
  <c r="BC200" i="22"/>
  <c r="BG44" i="22"/>
  <c r="BG200" i="22"/>
  <c r="I57" i="22"/>
  <c r="AK62" i="22"/>
  <c r="I200" i="22"/>
  <c r="AN42" i="22"/>
  <c r="AN38" i="22" s="1"/>
  <c r="AQ38" i="22"/>
  <c r="Z38" i="22"/>
  <c r="AO16" i="22"/>
  <c r="U35" i="22"/>
  <c r="AL35" i="22"/>
  <c r="AP199" i="22"/>
  <c r="U21" i="22"/>
  <c r="AL21" i="22"/>
  <c r="BB21" i="22" s="1"/>
  <c r="AQ195" i="22"/>
  <c r="Z77" i="22"/>
  <c r="AP80" i="22"/>
  <c r="BF80" i="22" s="1"/>
  <c r="U80" i="22"/>
  <c r="U75" i="22"/>
  <c r="AL75" i="22"/>
  <c r="AQ70" i="22"/>
  <c r="U73" i="22"/>
  <c r="AL73" i="22"/>
  <c r="BB73" i="22" s="1"/>
  <c r="AQ64" i="22"/>
  <c r="U67" i="22"/>
  <c r="Y60" i="22"/>
  <c r="AP60" i="22"/>
  <c r="BF60" i="22" s="1"/>
  <c r="Y55" i="22"/>
  <c r="AR55" i="22"/>
  <c r="BH55" i="22" s="1"/>
  <c r="AQ51" i="22"/>
  <c r="Y42" i="22"/>
  <c r="AR42" i="22"/>
  <c r="BH42" i="22" s="1"/>
  <c r="AK41" i="22"/>
  <c r="U16" i="22"/>
  <c r="Y16" i="22"/>
  <c r="Y34" i="22"/>
  <c r="AR34" i="22"/>
  <c r="AP191" i="22"/>
  <c r="Z196" i="22"/>
  <c r="AP23" i="22"/>
  <c r="AO23" i="22" s="1"/>
  <c r="Y20" i="22"/>
  <c r="AR20" i="22"/>
  <c r="AO20" i="22" s="1"/>
  <c r="AO81" i="22"/>
  <c r="U81" i="22"/>
  <c r="Y76" i="22"/>
  <c r="AR76" i="22"/>
  <c r="BH76" i="22" s="1"/>
  <c r="BX76" i="22" s="1"/>
  <c r="CN76" i="22" s="1"/>
  <c r="DD76" i="22" s="1"/>
  <c r="DT76" i="22" s="1"/>
  <c r="EJ76" i="22" s="1"/>
  <c r="AP70" i="22"/>
  <c r="Y74" i="22"/>
  <c r="AR74" i="22"/>
  <c r="BH74" i="22" s="1"/>
  <c r="BX74" i="22" s="1"/>
  <c r="CN74" i="22" s="1"/>
  <c r="DD74" i="22" s="1"/>
  <c r="DT74" i="22" s="1"/>
  <c r="EJ74" i="22" s="1"/>
  <c r="Y68" i="22"/>
  <c r="AR68" i="22"/>
  <c r="BH68" i="22" s="1"/>
  <c r="AP64" i="22"/>
  <c r="Y61" i="22"/>
  <c r="AP61" i="22"/>
  <c r="Y56" i="22"/>
  <c r="AR56" i="22"/>
  <c r="BH56" i="22" s="1"/>
  <c r="Y47" i="22"/>
  <c r="AR47" i="22"/>
  <c r="BH47" i="22" s="1"/>
  <c r="BX47" i="22" s="1"/>
  <c r="CN47" i="22" s="1"/>
  <c r="DD47" i="22" s="1"/>
  <c r="DT47" i="22" s="1"/>
  <c r="EJ47" i="22" s="1"/>
  <c r="AM44" i="22"/>
  <c r="Y41" i="22"/>
  <c r="AP41" i="22"/>
  <c r="U41" i="22"/>
  <c r="AL36" i="22"/>
  <c r="U34" i="22"/>
  <c r="AL34" i="22"/>
  <c r="AQ202" i="22"/>
  <c r="AO27" i="22"/>
  <c r="Y26" i="22"/>
  <c r="AR26" i="22"/>
  <c r="AN196" i="22"/>
  <c r="AL22" i="22"/>
  <c r="U20" i="22"/>
  <c r="AL20" i="22"/>
  <c r="W193" i="22"/>
  <c r="Y82" i="22"/>
  <c r="AP82" i="22"/>
  <c r="AB77" i="22"/>
  <c r="AR80" i="22"/>
  <c r="U74" i="22"/>
  <c r="AL74" i="22"/>
  <c r="AN70" i="22"/>
  <c r="U68" i="22"/>
  <c r="AL68" i="22"/>
  <c r="AN64" i="22"/>
  <c r="AK63" i="22"/>
  <c r="Y62" i="22"/>
  <c r="AP62" i="22"/>
  <c r="U62" i="22"/>
  <c r="AB57" i="22"/>
  <c r="AR60" i="22"/>
  <c r="AK56" i="22"/>
  <c r="U55" i="22"/>
  <c r="AN51" i="22"/>
  <c r="Y48" i="22"/>
  <c r="AR48" i="22"/>
  <c r="AQ44" i="22"/>
  <c r="AK47" i="22"/>
  <c r="U42" i="22"/>
  <c r="AM193" i="22"/>
  <c r="AQ193" i="22"/>
  <c r="AQ14" i="22"/>
  <c r="Y35" i="22"/>
  <c r="AR35" i="22"/>
  <c r="AB191" i="22"/>
  <c r="AR33" i="22"/>
  <c r="BH33" i="22" s="1"/>
  <c r="AR196" i="22"/>
  <c r="Y21" i="22"/>
  <c r="AR21" i="22"/>
  <c r="AQ77" i="22"/>
  <c r="AK80" i="22"/>
  <c r="Y75" i="22"/>
  <c r="AR75" i="22"/>
  <c r="Y73" i="22"/>
  <c r="AR73" i="22"/>
  <c r="AB64" i="22"/>
  <c r="AR67" i="22"/>
  <c r="Y63" i="22"/>
  <c r="AP63" i="22"/>
  <c r="U63" i="22"/>
  <c r="AQ57" i="22"/>
  <c r="U56" i="22"/>
  <c r="Y54" i="22"/>
  <c r="AR54" i="22"/>
  <c r="BH54" i="22" s="1"/>
  <c r="AP44" i="22"/>
  <c r="U47" i="22"/>
  <c r="AB38" i="22"/>
  <c r="AR41" i="22"/>
  <c r="BH41" i="22" s="1"/>
  <c r="AM38" i="22"/>
  <c r="AK165" i="22"/>
  <c r="I198" i="22"/>
  <c r="Z162" i="22"/>
  <c r="AM165" i="22"/>
  <c r="AO165" i="22"/>
  <c r="V162" i="22"/>
  <c r="U165" i="22"/>
  <c r="Y165" i="22"/>
  <c r="Q140" i="22"/>
  <c r="X140" i="22"/>
  <c r="U144" i="22"/>
  <c r="AL144" i="22"/>
  <c r="BB144" i="22" s="1"/>
  <c r="Y146" i="22"/>
  <c r="AR146" i="22"/>
  <c r="AB140" i="22"/>
  <c r="Z198" i="22"/>
  <c r="AQ140" i="22"/>
  <c r="U148" i="22"/>
  <c r="AL148" i="22"/>
  <c r="U146" i="22"/>
  <c r="AL146" i="22"/>
  <c r="AN140" i="22"/>
  <c r="AP140" i="22"/>
  <c r="F195" i="22"/>
  <c r="E195" i="22" s="1"/>
  <c r="EK195" i="22" s="1"/>
  <c r="Z195" i="22"/>
  <c r="Y147" i="22"/>
  <c r="AR147" i="22"/>
  <c r="Y144" i="22"/>
  <c r="AR144" i="22"/>
  <c r="BH144" i="22" s="1"/>
  <c r="Y148" i="22"/>
  <c r="AR148" i="22"/>
  <c r="BH148" i="22" s="1"/>
  <c r="E144" i="22"/>
  <c r="EK144" i="22" s="1"/>
  <c r="Z140" i="22"/>
  <c r="U147" i="22"/>
  <c r="AL147" i="22"/>
  <c r="AQ198" i="22"/>
  <c r="AQ200" i="22"/>
  <c r="Z110" i="22"/>
  <c r="U116" i="22"/>
  <c r="Y114" i="22"/>
  <c r="AR114" i="22"/>
  <c r="AM110" i="22"/>
  <c r="AQ190" i="22"/>
  <c r="AQ110" i="22"/>
  <c r="V113" i="22"/>
  <c r="Y113" i="22"/>
  <c r="AR113" i="22"/>
  <c r="BH113" i="22" s="1"/>
  <c r="BE113" i="22" s="1"/>
  <c r="Q110" i="22"/>
  <c r="AA110" i="22"/>
  <c r="AK116" i="22"/>
  <c r="Y115" i="22"/>
  <c r="AR115" i="22"/>
  <c r="BH115" i="22" s="1"/>
  <c r="AK114" i="22"/>
  <c r="AP110" i="22"/>
  <c r="I197" i="22"/>
  <c r="W110" i="22"/>
  <c r="Y116" i="22"/>
  <c r="AR116" i="22"/>
  <c r="BH116" i="22" s="1"/>
  <c r="BX116" i="22" s="1"/>
  <c r="CN116" i="22" s="1"/>
  <c r="DD116" i="22" s="1"/>
  <c r="DT116" i="22" s="1"/>
  <c r="EJ116" i="22" s="1"/>
  <c r="AK115" i="22"/>
  <c r="U114" i="22"/>
  <c r="AB162" i="22"/>
  <c r="AB90" i="22"/>
  <c r="AB44" i="22"/>
  <c r="AB51" i="22"/>
  <c r="Y67" i="22"/>
  <c r="AB70" i="22"/>
  <c r="AA200" i="22"/>
  <c r="Z190" i="22"/>
  <c r="Z194" i="22"/>
  <c r="Y81" i="22"/>
  <c r="Y80" i="22"/>
  <c r="Z200" i="22"/>
  <c r="Y87" i="22"/>
  <c r="Y93" i="22"/>
  <c r="AA202" i="22"/>
  <c r="AB194" i="22"/>
  <c r="AB110" i="22"/>
  <c r="AB120" i="22"/>
  <c r="AA194" i="22"/>
  <c r="AA190" i="22"/>
  <c r="AB197" i="22"/>
  <c r="Y197" i="22" s="1"/>
  <c r="AB195" i="22"/>
  <c r="Y143" i="22"/>
  <c r="AB196" i="22"/>
  <c r="AB202" i="22"/>
  <c r="AB190" i="22"/>
  <c r="AA170" i="22"/>
  <c r="AA189" i="22"/>
  <c r="AB170" i="22"/>
  <c r="Y176" i="22"/>
  <c r="AA198" i="22"/>
  <c r="Y177" i="22"/>
  <c r="Y170" i="22"/>
  <c r="AA193" i="22"/>
  <c r="Y36" i="22"/>
  <c r="Y27" i="22"/>
  <c r="AB193" i="22"/>
  <c r="AB200" i="22"/>
  <c r="AB199" i="22"/>
  <c r="Y33" i="22"/>
  <c r="Y24" i="22"/>
  <c r="Y23" i="22"/>
  <c r="Y22" i="22"/>
  <c r="Q198" i="22"/>
  <c r="M156" i="22"/>
  <c r="Q126" i="22"/>
  <c r="M137" i="22"/>
  <c r="Q97" i="22"/>
  <c r="S203" i="22"/>
  <c r="M90" i="22"/>
  <c r="Q200" i="22"/>
  <c r="Q202" i="22"/>
  <c r="N70" i="22"/>
  <c r="M70" i="22" s="1"/>
  <c r="Q44" i="22"/>
  <c r="Q195" i="22"/>
  <c r="Q199" i="22"/>
  <c r="Q197" i="22"/>
  <c r="S180" i="22"/>
  <c r="S187" i="22" s="1"/>
  <c r="Q196" i="22"/>
  <c r="Q190" i="22"/>
  <c r="Q194" i="22"/>
  <c r="M195" i="22"/>
  <c r="M11" i="22"/>
  <c r="M193" i="22"/>
  <c r="Q201" i="22"/>
  <c r="R203" i="22"/>
  <c r="O14" i="22"/>
  <c r="O193" i="22"/>
  <c r="O203" i="22" s="1"/>
  <c r="T203" i="22"/>
  <c r="P14" i="22"/>
  <c r="Q19" i="22"/>
  <c r="M22" i="22"/>
  <c r="M24" i="22"/>
  <c r="N51" i="22"/>
  <c r="M51" i="22" s="1"/>
  <c r="M59" i="22"/>
  <c r="P77" i="22"/>
  <c r="M77" i="22" s="1"/>
  <c r="P110" i="22"/>
  <c r="O162" i="22"/>
  <c r="N190" i="22"/>
  <c r="N194" i="22"/>
  <c r="M194" i="22" s="1"/>
  <c r="N196" i="22"/>
  <c r="M196" i="22" s="1"/>
  <c r="N198" i="22"/>
  <c r="M198" i="22" s="1"/>
  <c r="N200" i="22"/>
  <c r="M200" i="22" s="1"/>
  <c r="N57" i="22"/>
  <c r="M57" i="22" s="1"/>
  <c r="N126" i="22"/>
  <c r="M126" i="22" s="1"/>
  <c r="N170" i="22"/>
  <c r="O189" i="22"/>
  <c r="R14" i="22"/>
  <c r="R180" i="22" s="1"/>
  <c r="M161" i="22"/>
  <c r="P190" i="22"/>
  <c r="P202" i="22"/>
  <c r="P104" i="22"/>
  <c r="M104" i="22" s="1"/>
  <c r="N151" i="22"/>
  <c r="M151" i="22" s="1"/>
  <c r="Q193" i="22"/>
  <c r="T14" i="22"/>
  <c r="M19" i="22"/>
  <c r="P201" i="22"/>
  <c r="Q31" i="22"/>
  <c r="P84" i="22"/>
  <c r="M84" i="22" s="1"/>
  <c r="R189" i="22"/>
  <c r="Q28" i="22"/>
  <c r="N140" i="22"/>
  <c r="M140" i="22" s="1"/>
  <c r="T162" i="22"/>
  <c r="Q162" i="22" s="1"/>
  <c r="P162" i="22"/>
  <c r="M162" i="22" s="1"/>
  <c r="N110" i="22"/>
  <c r="T189" i="22"/>
  <c r="K180" i="22"/>
  <c r="K187" i="22" s="1"/>
  <c r="F90" i="22"/>
  <c r="E90" i="22" s="1"/>
  <c r="EK90" i="22" s="1"/>
  <c r="E107" i="22"/>
  <c r="EK107" i="22" s="1"/>
  <c r="G189" i="22"/>
  <c r="E184" i="22"/>
  <c r="EK184" i="22" s="1"/>
  <c r="H25" i="22"/>
  <c r="I70" i="22"/>
  <c r="F84" i="22"/>
  <c r="I151" i="22"/>
  <c r="F196" i="22"/>
  <c r="E196" i="22" s="1"/>
  <c r="EK196" i="22" s="1"/>
  <c r="I191" i="22"/>
  <c r="I195" i="22"/>
  <c r="I199" i="22"/>
  <c r="I25" i="22"/>
  <c r="F38" i="22"/>
  <c r="E38" i="22" s="1"/>
  <c r="EK38" i="22" s="1"/>
  <c r="F194" i="22"/>
  <c r="E194" i="22" s="1"/>
  <c r="EK194" i="22" s="1"/>
  <c r="G196" i="22"/>
  <c r="G198" i="22"/>
  <c r="K203" i="22"/>
  <c r="G201" i="22"/>
  <c r="E26" i="22"/>
  <c r="EK26" i="22" s="1"/>
  <c r="F70" i="22"/>
  <c r="E70" i="22" s="1"/>
  <c r="EK70" i="22" s="1"/>
  <c r="G110" i="22"/>
  <c r="E159" i="22"/>
  <c r="EK159" i="22" s="1"/>
  <c r="F162" i="22"/>
  <c r="I90" i="22"/>
  <c r="E156" i="22"/>
  <c r="EK156" i="22" s="1"/>
  <c r="I196" i="22"/>
  <c r="J203" i="22"/>
  <c r="F193" i="22"/>
  <c r="E193" i="22" s="1"/>
  <c r="EK193" i="22" s="1"/>
  <c r="G202" i="22"/>
  <c r="F57" i="22"/>
  <c r="E57" i="22" s="1"/>
  <c r="EK57" i="22" s="1"/>
  <c r="F104" i="22"/>
  <c r="G194" i="22"/>
  <c r="I190" i="22"/>
  <c r="I194" i="22"/>
  <c r="G14" i="22"/>
  <c r="G193" i="22"/>
  <c r="I201" i="22"/>
  <c r="I19" i="22"/>
  <c r="E22" i="22"/>
  <c r="EK22" i="22" s="1"/>
  <c r="E24" i="22"/>
  <c r="EK24" i="22" s="1"/>
  <c r="F51" i="22"/>
  <c r="E51" i="22" s="1"/>
  <c r="EK51" i="22" s="1"/>
  <c r="E59" i="22"/>
  <c r="EK59" i="22" s="1"/>
  <c r="H77" i="22"/>
  <c r="E77" i="22" s="1"/>
  <c r="EK77" i="22" s="1"/>
  <c r="H110" i="22"/>
  <c r="F120" i="22"/>
  <c r="E120" i="22" s="1"/>
  <c r="EK120" i="22" s="1"/>
  <c r="G162" i="22"/>
  <c r="I177" i="22"/>
  <c r="F190" i="22"/>
  <c r="F198" i="22"/>
  <c r="F200" i="22"/>
  <c r="E200" i="22" s="1"/>
  <c r="EK200" i="22" s="1"/>
  <c r="F126" i="22"/>
  <c r="E126" i="22" s="1"/>
  <c r="EK126" i="22" s="1"/>
  <c r="F170" i="22"/>
  <c r="F31" i="22"/>
  <c r="F28" i="22"/>
  <c r="V28" i="22" s="1"/>
  <c r="AL28" i="22" s="1"/>
  <c r="BB28" i="22" s="1"/>
  <c r="H33" i="22"/>
  <c r="X33" i="22" s="1"/>
  <c r="E161" i="22"/>
  <c r="EK161" i="22" s="1"/>
  <c r="H190" i="22"/>
  <c r="J14" i="22"/>
  <c r="J180" i="22" s="1"/>
  <c r="H31" i="22"/>
  <c r="X31" i="22" s="1"/>
  <c r="AN31" i="22" s="1"/>
  <c r="BD31" i="22" s="1"/>
  <c r="BT31" i="22" s="1"/>
  <c r="CJ31" i="22" s="1"/>
  <c r="CZ31" i="22" s="1"/>
  <c r="DP31" i="22" s="1"/>
  <c r="EF31" i="22" s="1"/>
  <c r="H104" i="22"/>
  <c r="F151" i="22"/>
  <c r="E151" i="22" s="1"/>
  <c r="EK151" i="22" s="1"/>
  <c r="I193" i="22"/>
  <c r="L14" i="22"/>
  <c r="H28" i="22"/>
  <c r="I31" i="22"/>
  <c r="H84" i="22"/>
  <c r="J189" i="22"/>
  <c r="I28" i="22"/>
  <c r="F140" i="22"/>
  <c r="E140" i="22" s="1"/>
  <c r="EK140" i="22" s="1"/>
  <c r="L162" i="22"/>
  <c r="I162" i="22" s="1"/>
  <c r="H169" i="22"/>
  <c r="F110" i="22"/>
  <c r="E110" i="22" s="1"/>
  <c r="EK110" i="22" s="1"/>
  <c r="L189" i="22"/>
  <c r="AB201" i="22" l="1"/>
  <c r="U143" i="22"/>
  <c r="U142" i="22"/>
  <c r="M110" i="22"/>
  <c r="W90" i="22"/>
  <c r="AK66" i="22"/>
  <c r="AP198" i="22"/>
  <c r="W190" i="22"/>
  <c r="AK153" i="22"/>
  <c r="AL44" i="22"/>
  <c r="AK44" i="22" s="1"/>
  <c r="V64" i="22"/>
  <c r="U66" i="22"/>
  <c r="Y120" i="22"/>
  <c r="AM200" i="22"/>
  <c r="BS200" i="22"/>
  <c r="W200" i="22"/>
  <c r="AP195" i="22"/>
  <c r="BB61" i="22"/>
  <c r="AK137" i="22"/>
  <c r="AO160" i="22"/>
  <c r="AR151" i="22"/>
  <c r="BB51" i="22"/>
  <c r="U123" i="22"/>
  <c r="BB123" i="22"/>
  <c r="AK142" i="22"/>
  <c r="U36" i="22"/>
  <c r="BC57" i="22"/>
  <c r="BC70" i="22"/>
  <c r="AK93" i="22"/>
  <c r="AM90" i="22"/>
  <c r="X200" i="22"/>
  <c r="AM70" i="22"/>
  <c r="Y191" i="22"/>
  <c r="Y97" i="22"/>
  <c r="Y104" i="22"/>
  <c r="AO47" i="22"/>
  <c r="AL51" i="22"/>
  <c r="AL33" i="22"/>
  <c r="BB33" i="22" s="1"/>
  <c r="BR33" i="22" s="1"/>
  <c r="CH33" i="22" s="1"/>
  <c r="CX33" i="22" s="1"/>
  <c r="DN33" i="22" s="1"/>
  <c r="BA54" i="22"/>
  <c r="U64" i="22"/>
  <c r="BD196" i="22"/>
  <c r="V140" i="22"/>
  <c r="U140" i="22" s="1"/>
  <c r="U54" i="22"/>
  <c r="AL149" i="22"/>
  <c r="AL140" i="22" s="1"/>
  <c r="AK140" i="22" s="1"/>
  <c r="BD110" i="22"/>
  <c r="AM51" i="22"/>
  <c r="AL26" i="22"/>
  <c r="BB26" i="22" s="1"/>
  <c r="BR26" i="22" s="1"/>
  <c r="CH26" i="22" s="1"/>
  <c r="CX26" i="22" s="1"/>
  <c r="DN26" i="22" s="1"/>
  <c r="AK54" i="22"/>
  <c r="AP193" i="22"/>
  <c r="U38" i="22"/>
  <c r="AK72" i="22"/>
  <c r="Y90" i="22"/>
  <c r="Y19" i="22"/>
  <c r="BE19" i="22"/>
  <c r="AN84" i="22"/>
  <c r="AN77" i="22"/>
  <c r="U89" i="22"/>
  <c r="X84" i="22"/>
  <c r="U84" i="22" s="1"/>
  <c r="AL19" i="22"/>
  <c r="BB19" i="22" s="1"/>
  <c r="BR19" i="22" s="1"/>
  <c r="CH19" i="22" s="1"/>
  <c r="CX19" i="22" s="1"/>
  <c r="DN19" i="22" s="1"/>
  <c r="AN57" i="22"/>
  <c r="AO19" i="22"/>
  <c r="BC51" i="22"/>
  <c r="U26" i="22"/>
  <c r="AL24" i="22"/>
  <c r="Z193" i="22"/>
  <c r="U24" i="22"/>
  <c r="U199" i="22"/>
  <c r="U27" i="22"/>
  <c r="BG193" i="22"/>
  <c r="Y196" i="22"/>
  <c r="CY27" i="22"/>
  <c r="DO27" i="22" s="1"/>
  <c r="EE27" i="22" s="1"/>
  <c r="EE200" i="22" s="1"/>
  <c r="AO31" i="22"/>
  <c r="AK16" i="22"/>
  <c r="BA16" i="22"/>
  <c r="BE31" i="22"/>
  <c r="Z14" i="22"/>
  <c r="Z202" i="22"/>
  <c r="Z189" i="22"/>
  <c r="U22" i="22"/>
  <c r="AO68" i="22"/>
  <c r="AO74" i="22"/>
  <c r="Y126" i="22"/>
  <c r="X195" i="22"/>
  <c r="V90" i="22"/>
  <c r="U90" i="22" s="1"/>
  <c r="BB44" i="22"/>
  <c r="AK131" i="22"/>
  <c r="U97" i="22"/>
  <c r="W97" i="22"/>
  <c r="U61" i="22"/>
  <c r="AM196" i="22"/>
  <c r="Y57" i="22"/>
  <c r="W162" i="22"/>
  <c r="L203" i="22"/>
  <c r="Y199" i="22"/>
  <c r="W194" i="22"/>
  <c r="V200" i="22"/>
  <c r="Y140" i="22"/>
  <c r="AM140" i="22"/>
  <c r="AK60" i="22"/>
  <c r="AM57" i="22"/>
  <c r="U82" i="22"/>
  <c r="AK82" i="22"/>
  <c r="AM191" i="22"/>
  <c r="BD77" i="22"/>
  <c r="AO133" i="22"/>
  <c r="AK117" i="22"/>
  <c r="AM84" i="22"/>
  <c r="W84" i="22"/>
  <c r="W77" i="22"/>
  <c r="V196" i="22"/>
  <c r="U196" i="22" s="1"/>
  <c r="AR162" i="22"/>
  <c r="AK177" i="22"/>
  <c r="EF64" i="22"/>
  <c r="AB189" i="22"/>
  <c r="U184" i="22"/>
  <c r="AP197" i="22"/>
  <c r="AO197" i="22" s="1"/>
  <c r="W140" i="22"/>
  <c r="AM77" i="22"/>
  <c r="AL27" i="22"/>
  <c r="X57" i="22"/>
  <c r="BC140" i="22"/>
  <c r="BF140" i="22"/>
  <c r="BD57" i="22"/>
  <c r="BC77" i="22"/>
  <c r="V120" i="22"/>
  <c r="U120" i="22" s="1"/>
  <c r="W195" i="22"/>
  <c r="U46" i="22"/>
  <c r="U183" i="22"/>
  <c r="AK11" i="22"/>
  <c r="AN190" i="22"/>
  <c r="AK46" i="22"/>
  <c r="Y201" i="22"/>
  <c r="Y44" i="22"/>
  <c r="AM190" i="22"/>
  <c r="AN195" i="22"/>
  <c r="W198" i="22"/>
  <c r="Y64" i="22"/>
  <c r="BA82" i="22"/>
  <c r="U93" i="22"/>
  <c r="BD195" i="22"/>
  <c r="W57" i="22"/>
  <c r="BG190" i="22"/>
  <c r="U117" i="22"/>
  <c r="V44" i="22"/>
  <c r="U44" i="22" s="1"/>
  <c r="BC190" i="22"/>
  <c r="X77" i="22"/>
  <c r="U77" i="22" s="1"/>
  <c r="X156" i="22"/>
  <c r="AN156" i="22"/>
  <c r="BA60" i="22"/>
  <c r="AK118" i="22"/>
  <c r="EE22" i="22"/>
  <c r="EF19" i="22"/>
  <c r="EE19" i="22"/>
  <c r="DQ47" i="22"/>
  <c r="EH47" i="22"/>
  <c r="EG47" i="22" s="1"/>
  <c r="DA36" i="22"/>
  <c r="DR36" i="22"/>
  <c r="DT118" i="22"/>
  <c r="EJ118" i="22" s="1"/>
  <c r="DP118" i="22"/>
  <c r="EJ161" i="22"/>
  <c r="AL154" i="22"/>
  <c r="U154" i="22"/>
  <c r="V151" i="22"/>
  <c r="U151" i="22" s="1"/>
  <c r="AL173" i="22"/>
  <c r="U173" i="22"/>
  <c r="V170" i="22"/>
  <c r="U170" i="22" s="1"/>
  <c r="AR156" i="22"/>
  <c r="DD183" i="22"/>
  <c r="DT183" i="22" s="1"/>
  <c r="BF159" i="22"/>
  <c r="BF156" i="22" s="1"/>
  <c r="AO159" i="22"/>
  <c r="BV179" i="22"/>
  <c r="BF177" i="22"/>
  <c r="BX173" i="22"/>
  <c r="BH170" i="22"/>
  <c r="BR53" i="22"/>
  <c r="BA53" i="22"/>
  <c r="AK99" i="22"/>
  <c r="BB99" i="22"/>
  <c r="H201" i="22"/>
  <c r="X28" i="22"/>
  <c r="E104" i="22"/>
  <c r="EK104" i="22" s="1"/>
  <c r="O180" i="22"/>
  <c r="O187" i="22" s="1"/>
  <c r="AB14" i="22"/>
  <c r="AN110" i="22"/>
  <c r="V194" i="22"/>
  <c r="X110" i="22"/>
  <c r="AM195" i="22"/>
  <c r="AM64" i="22"/>
  <c r="Y28" i="22"/>
  <c r="X193" i="22"/>
  <c r="EH18" i="22"/>
  <c r="EG18" i="22" s="1"/>
  <c r="DQ18" i="22"/>
  <c r="EH26" i="22"/>
  <c r="EH20" i="22"/>
  <c r="EI22" i="22"/>
  <c r="AM201" i="22"/>
  <c r="BF193" i="22"/>
  <c r="DM67" i="22"/>
  <c r="ED67" i="22"/>
  <c r="EC67" i="22" s="1"/>
  <c r="EL67" i="22" s="1"/>
  <c r="BD87" i="22"/>
  <c r="U131" i="22"/>
  <c r="EJ137" i="22"/>
  <c r="BR60" i="22"/>
  <c r="CH60" i="22" s="1"/>
  <c r="CX60" i="22" s="1"/>
  <c r="DN60" i="22" s="1"/>
  <c r="ED41" i="22"/>
  <c r="EC41" i="22" s="1"/>
  <c r="EL41" i="22" s="1"/>
  <c r="DM41" i="22"/>
  <c r="ED47" i="22"/>
  <c r="EC47" i="22" s="1"/>
  <c r="EL47" i="22" s="1"/>
  <c r="DM47" i="22"/>
  <c r="BC64" i="22"/>
  <c r="EH74" i="22"/>
  <c r="EG74" i="22" s="1"/>
  <c r="DQ74" i="22"/>
  <c r="AO118" i="22"/>
  <c r="U87" i="22"/>
  <c r="DR117" i="22"/>
  <c r="W202" i="22"/>
  <c r="X190" i="22"/>
  <c r="EH73" i="22"/>
  <c r="AM126" i="22"/>
  <c r="W191" i="22"/>
  <c r="DR184" i="22"/>
  <c r="EH184" i="22" s="1"/>
  <c r="BF154" i="22"/>
  <c r="AO154" i="22"/>
  <c r="BS179" i="22"/>
  <c r="BC177" i="22"/>
  <c r="DO99" i="22"/>
  <c r="BX169" i="22"/>
  <c r="CN169" i="22" s="1"/>
  <c r="DD169" i="22" s="1"/>
  <c r="BB183" i="22"/>
  <c r="AK183" i="22"/>
  <c r="BB167" i="22"/>
  <c r="AK167" i="22"/>
  <c r="BX165" i="22"/>
  <c r="BH162" i="22"/>
  <c r="BV153" i="22"/>
  <c r="BE153" i="22"/>
  <c r="BR66" i="22"/>
  <c r="BA66" i="22"/>
  <c r="EF161" i="22"/>
  <c r="U168" i="22"/>
  <c r="AL168" i="22"/>
  <c r="EE174" i="22"/>
  <c r="BW179" i="22"/>
  <c r="BG177" i="22"/>
  <c r="BX158" i="22"/>
  <c r="BH156" i="22"/>
  <c r="BX153" i="22"/>
  <c r="BH151" i="22"/>
  <c r="BE106" i="22"/>
  <c r="BV106" i="22"/>
  <c r="AO92" i="22"/>
  <c r="BF92" i="22"/>
  <c r="BF90" i="22" s="1"/>
  <c r="EH28" i="22"/>
  <c r="CH169" i="22"/>
  <c r="BE176" i="22"/>
  <c r="BT173" i="22"/>
  <c r="BD170" i="22"/>
  <c r="BR13" i="22"/>
  <c r="BB11" i="22"/>
  <c r="EF146" i="22"/>
  <c r="BV161" i="22"/>
  <c r="BE161" i="22"/>
  <c r="BF167" i="22"/>
  <c r="AO167" i="22"/>
  <c r="AO175" i="22"/>
  <c r="BG156" i="22"/>
  <c r="BW158" i="22"/>
  <c r="BC11" i="22"/>
  <c r="BS13" i="22"/>
  <c r="BB161" i="22"/>
  <c r="AK161" i="22"/>
  <c r="AR170" i="22"/>
  <c r="AO170" i="22" s="1"/>
  <c r="BR153" i="22"/>
  <c r="BA153" i="22"/>
  <c r="EJ106" i="22"/>
  <c r="AL79" i="22"/>
  <c r="U79" i="22"/>
  <c r="BE66" i="22"/>
  <c r="BV66" i="22"/>
  <c r="BV64" i="22" s="1"/>
  <c r="AM156" i="22"/>
  <c r="BC158" i="22"/>
  <c r="BC173" i="22"/>
  <c r="AM170" i="22"/>
  <c r="EF21" i="22"/>
  <c r="CW96" i="22"/>
  <c r="DP96" i="22"/>
  <c r="EF96" i="22" s="1"/>
  <c r="EH94" i="22"/>
  <c r="DC44" i="22"/>
  <c r="DS47" i="22"/>
  <c r="BR186" i="22"/>
  <c r="BA186" i="22"/>
  <c r="AO168" i="22"/>
  <c r="BF168" i="22"/>
  <c r="BV174" i="22"/>
  <c r="BE174" i="22"/>
  <c r="BR72" i="22"/>
  <c r="BA72" i="22"/>
  <c r="AM123" i="22"/>
  <c r="W120" i="22"/>
  <c r="BG162" i="22"/>
  <c r="BR179" i="22"/>
  <c r="BA179" i="22"/>
  <c r="BB177" i="22"/>
  <c r="BE175" i="22"/>
  <c r="BV175" i="22"/>
  <c r="EE66" i="22"/>
  <c r="H162" i="22"/>
  <c r="X169" i="22"/>
  <c r="AN33" i="22"/>
  <c r="X191" i="22"/>
  <c r="U191" i="22" s="1"/>
  <c r="Y25" i="22"/>
  <c r="Y70" i="22"/>
  <c r="AN194" i="22"/>
  <c r="AO148" i="22"/>
  <c r="AP162" i="22"/>
  <c r="Y162" i="22"/>
  <c r="AM14" i="22"/>
  <c r="AL76" i="22"/>
  <c r="BB76" i="22" s="1"/>
  <c r="U60" i="22"/>
  <c r="AL23" i="22"/>
  <c r="AK23" i="22" s="1"/>
  <c r="U33" i="22"/>
  <c r="EJ22" i="22"/>
  <c r="AM202" i="22"/>
  <c r="EF22" i="22"/>
  <c r="BG198" i="22"/>
  <c r="DA27" i="22"/>
  <c r="DR27" i="22"/>
  <c r="EI19" i="22"/>
  <c r="DR144" i="22"/>
  <c r="CJ140" i="22"/>
  <c r="CZ144" i="22"/>
  <c r="EJ133" i="22"/>
  <c r="W64" i="22"/>
  <c r="W14" i="22"/>
  <c r="EH76" i="22"/>
  <c r="EG76" i="22" s="1"/>
  <c r="DQ76" i="22"/>
  <c r="U51" i="22"/>
  <c r="BB57" i="22"/>
  <c r="BB118" i="22"/>
  <c r="BA118" i="22" s="1"/>
  <c r="U137" i="22"/>
  <c r="W201" i="22"/>
  <c r="U70" i="22"/>
  <c r="BV186" i="22"/>
  <c r="BE186" i="22"/>
  <c r="BF166" i="22"/>
  <c r="AO166" i="22"/>
  <c r="AL174" i="22"/>
  <c r="U174" i="22"/>
  <c r="DD175" i="22"/>
  <c r="DT175" i="22" s="1"/>
  <c r="EJ175" i="22" s="1"/>
  <c r="AR177" i="22"/>
  <c r="BH179" i="22"/>
  <c r="BE179" i="22" s="1"/>
  <c r="BB165" i="22"/>
  <c r="EI106" i="22"/>
  <c r="BF79" i="22"/>
  <c r="AO79" i="22"/>
  <c r="BV13" i="22"/>
  <c r="BE13" i="22"/>
  <c r="ED115" i="22"/>
  <c r="EH148" i="22"/>
  <c r="BV46" i="22"/>
  <c r="BV44" i="22" s="1"/>
  <c r="BE46" i="22"/>
  <c r="CJ183" i="22"/>
  <c r="EI143" i="22"/>
  <c r="U166" i="22"/>
  <c r="AL166" i="22"/>
  <c r="AO169" i="22"/>
  <c r="BF169" i="22"/>
  <c r="BV169" i="22" s="1"/>
  <c r="EJ174" i="22"/>
  <c r="BU176" i="22"/>
  <c r="CL176" i="22"/>
  <c r="BD151" i="22"/>
  <c r="BT153" i="22"/>
  <c r="BE122" i="22"/>
  <c r="BV122" i="22"/>
  <c r="BV112" i="22"/>
  <c r="BE112" i="22"/>
  <c r="AL106" i="22"/>
  <c r="AL104" i="22" s="1"/>
  <c r="AK104" i="22" s="1"/>
  <c r="U106" i="22"/>
  <c r="EF166" i="22"/>
  <c r="BA175" i="22"/>
  <c r="BR175" i="22"/>
  <c r="BT179" i="22"/>
  <c r="BD177" i="22"/>
  <c r="BV142" i="22"/>
  <c r="BE142" i="22"/>
  <c r="EF112" i="22"/>
  <c r="BA59" i="22"/>
  <c r="BR59" i="22"/>
  <c r="BG11" i="22"/>
  <c r="BW13" i="22"/>
  <c r="BU184" i="22"/>
  <c r="CN184" i="22"/>
  <c r="DO143" i="22"/>
  <c r="BE160" i="22"/>
  <c r="BX160" i="22"/>
  <c r="CN160" i="22" s="1"/>
  <c r="DD160" i="22" s="1"/>
  <c r="DT160" i="22" s="1"/>
  <c r="EJ160" i="22" s="1"/>
  <c r="BS166" i="22"/>
  <c r="CI166" i="22" s="1"/>
  <c r="CY166" i="22" s="1"/>
  <c r="EF174" i="22"/>
  <c r="AO177" i="22"/>
  <c r="EE46" i="22"/>
  <c r="U161" i="22"/>
  <c r="AL158" i="22"/>
  <c r="U158" i="22"/>
  <c r="V156" i="22"/>
  <c r="U156" i="22" s="1"/>
  <c r="U19" i="22"/>
  <c r="AM151" i="22"/>
  <c r="BC153" i="22"/>
  <c r="EE72" i="22"/>
  <c r="AK176" i="22"/>
  <c r="BB176" i="22"/>
  <c r="EE112" i="22"/>
  <c r="AK86" i="22"/>
  <c r="BB86" i="22"/>
  <c r="E31" i="22"/>
  <c r="EK31" i="22" s="1"/>
  <c r="V31" i="22"/>
  <c r="V189" i="22" s="1"/>
  <c r="AM162" i="22"/>
  <c r="BC165" i="22"/>
  <c r="BS165" i="22" s="1"/>
  <c r="EH67" i="22"/>
  <c r="ED96" i="22"/>
  <c r="EC96" i="22" s="1"/>
  <c r="EL96" i="22" s="1"/>
  <c r="DM96" i="22"/>
  <c r="ED55" i="22"/>
  <c r="EC55" i="22" s="1"/>
  <c r="EL55" i="22" s="1"/>
  <c r="DM55" i="22"/>
  <c r="BW162" i="22"/>
  <c r="CM165" i="22"/>
  <c r="BE86" i="22"/>
  <c r="BV86" i="22"/>
  <c r="EC164" i="22"/>
  <c r="EL164" i="22" s="1"/>
  <c r="AO151" i="22"/>
  <c r="BA122" i="22"/>
  <c r="BR122" i="22"/>
  <c r="EF77" i="22"/>
  <c r="BA13" i="22"/>
  <c r="BT13" i="22"/>
  <c r="BD11" i="22"/>
  <c r="BA11" i="22" s="1"/>
  <c r="DT176" i="22"/>
  <c r="EJ176" i="22" s="1"/>
  <c r="BV158" i="22"/>
  <c r="BE158" i="22"/>
  <c r="EF99" i="22"/>
  <c r="BV40" i="22"/>
  <c r="BE40" i="22"/>
  <c r="EH115" i="22"/>
  <c r="AO161" i="22"/>
  <c r="EE106" i="22"/>
  <c r="V201" i="22"/>
  <c r="H198" i="22"/>
  <c r="X25" i="22"/>
  <c r="W189" i="22"/>
  <c r="AB198" i="22"/>
  <c r="AB203" i="22" s="1"/>
  <c r="AM198" i="22"/>
  <c r="V198" i="22"/>
  <c r="AL57" i="22"/>
  <c r="U76" i="22"/>
  <c r="U23" i="22"/>
  <c r="AN193" i="22"/>
  <c r="V57" i="22"/>
  <c r="U57" i="22" s="1"/>
  <c r="EJ19" i="22"/>
  <c r="EH19" i="22"/>
  <c r="DQ19" i="22"/>
  <c r="DR147" i="22"/>
  <c r="DR146" i="22"/>
  <c r="EH146" i="22" s="1"/>
  <c r="DR113" i="22"/>
  <c r="EH33" i="22"/>
  <c r="DR191" i="22"/>
  <c r="X194" i="22"/>
  <c r="EH96" i="22"/>
  <c r="EH114" i="22"/>
  <c r="EH34" i="22"/>
  <c r="ED42" i="22"/>
  <c r="DA116" i="22"/>
  <c r="DR116" i="22"/>
  <c r="ED133" i="22"/>
  <c r="EC133" i="22" s="1"/>
  <c r="EL133" i="22" s="1"/>
  <c r="DM133" i="22"/>
  <c r="BF183" i="22"/>
  <c r="AO183" i="22"/>
  <c r="BU160" i="22"/>
  <c r="CL160" i="22"/>
  <c r="BG170" i="22"/>
  <c r="BW173" i="22"/>
  <c r="BW198" i="22" s="1"/>
  <c r="EI112" i="22"/>
  <c r="AL92" i="22"/>
  <c r="U92" i="22"/>
  <c r="BB159" i="22"/>
  <c r="AK159" i="22"/>
  <c r="AO174" i="22"/>
  <c r="BA142" i="22"/>
  <c r="BR142" i="22"/>
  <c r="BE53" i="22"/>
  <c r="BV53" i="22"/>
  <c r="AL40" i="22"/>
  <c r="U40" i="22"/>
  <c r="AK160" i="22"/>
  <c r="BB160" i="22"/>
  <c r="EI166" i="22"/>
  <c r="Y169" i="22"/>
  <c r="BV173" i="22"/>
  <c r="BE173" i="22"/>
  <c r="BF170" i="22"/>
  <c r="BU165" i="22"/>
  <c r="CL165" i="22"/>
  <c r="BT158" i="22"/>
  <c r="BT196" i="22" s="1"/>
  <c r="BD156" i="22"/>
  <c r="AL112" i="22"/>
  <c r="U112" i="22"/>
  <c r="BV99" i="22"/>
  <c r="BE99" i="22"/>
  <c r="DP77" i="22"/>
  <c r="DP64" i="22"/>
  <c r="EF27" i="22"/>
  <c r="AP156" i="22"/>
  <c r="AO156" i="22" s="1"/>
  <c r="V104" i="22"/>
  <c r="U104" i="22" s="1"/>
  <c r="Y151" i="22"/>
  <c r="EJ166" i="22"/>
  <c r="AO179" i="22"/>
  <c r="BT165" i="22"/>
  <c r="BG151" i="22"/>
  <c r="BW153" i="22"/>
  <c r="EE79" i="22"/>
  <c r="EE53" i="22"/>
  <c r="BH11" i="22"/>
  <c r="BE11" i="22" s="1"/>
  <c r="BX13" i="22"/>
  <c r="EJ112" i="22"/>
  <c r="BV72" i="22"/>
  <c r="BV70" i="22" s="1"/>
  <c r="BE72" i="22"/>
  <c r="BV59" i="22"/>
  <c r="BV193" i="22" s="1"/>
  <c r="BE59" i="22"/>
  <c r="BA46" i="22"/>
  <c r="BR46" i="22"/>
  <c r="BR44" i="22" s="1"/>
  <c r="U118" i="22"/>
  <c r="AK184" i="22"/>
  <c r="BB184" i="22"/>
  <c r="DB191" i="22"/>
  <c r="CW41" i="22"/>
  <c r="Y77" i="22"/>
  <c r="DA18" i="22"/>
  <c r="CW67" i="22"/>
  <c r="BA96" i="22"/>
  <c r="BA55" i="22"/>
  <c r="DA74" i="22"/>
  <c r="AO89" i="22"/>
  <c r="CJ70" i="22"/>
  <c r="CZ73" i="22"/>
  <c r="DP73" i="22" s="1"/>
  <c r="AP190" i="22"/>
  <c r="AP200" i="22"/>
  <c r="DA76" i="22"/>
  <c r="CW55" i="22"/>
  <c r="DA47" i="22"/>
  <c r="CW47" i="22"/>
  <c r="DA19" i="22"/>
  <c r="CW60" i="22"/>
  <c r="AO88" i="22"/>
  <c r="CI51" i="22"/>
  <c r="CY54" i="22"/>
  <c r="CZ64" i="22"/>
  <c r="CZ77" i="22"/>
  <c r="CI44" i="22"/>
  <c r="CY47" i="22"/>
  <c r="CW133" i="22"/>
  <c r="U197" i="22"/>
  <c r="BR129" i="22"/>
  <c r="BA129" i="22"/>
  <c r="DD138" i="22"/>
  <c r="DT138" i="22" s="1"/>
  <c r="EJ138" i="22" s="1"/>
  <c r="Y195" i="22"/>
  <c r="V195" i="22"/>
  <c r="V126" i="22"/>
  <c r="U126" i="22" s="1"/>
  <c r="BE129" i="22"/>
  <c r="BV129" i="22"/>
  <c r="BQ82" i="22"/>
  <c r="CH82" i="22"/>
  <c r="BQ117" i="22"/>
  <c r="CH117" i="22"/>
  <c r="BE116" i="22"/>
  <c r="Y51" i="22"/>
  <c r="AK21" i="22"/>
  <c r="CM25" i="22"/>
  <c r="CK27" i="22"/>
  <c r="BQ16" i="22"/>
  <c r="CH16" i="22"/>
  <c r="BU16" i="22"/>
  <c r="CL16" i="22"/>
  <c r="BW140" i="22"/>
  <c r="CM144" i="22"/>
  <c r="CK47" i="22"/>
  <c r="BS57" i="22"/>
  <c r="CI60" i="22"/>
  <c r="BW64" i="22"/>
  <c r="CM67" i="22"/>
  <c r="BT70" i="22"/>
  <c r="AO137" i="22"/>
  <c r="AO149" i="22"/>
  <c r="CH54" i="22"/>
  <c r="BR51" i="22"/>
  <c r="CK74" i="22"/>
  <c r="BS77" i="22"/>
  <c r="CI80" i="22"/>
  <c r="BQ62" i="22"/>
  <c r="CJ62" i="22"/>
  <c r="CG96" i="22"/>
  <c r="CK36" i="22"/>
  <c r="CG55" i="22"/>
  <c r="CK116" i="22"/>
  <c r="CG133" i="22"/>
  <c r="BW70" i="22"/>
  <c r="CM73" i="22"/>
  <c r="CG47" i="22"/>
  <c r="BS70" i="22"/>
  <c r="CI73" i="22"/>
  <c r="AO56" i="22"/>
  <c r="BQ18" i="22"/>
  <c r="CH18" i="22"/>
  <c r="CG67" i="22"/>
  <c r="BQ116" i="22"/>
  <c r="CH116" i="22"/>
  <c r="BQ136" i="22"/>
  <c r="CH136" i="22"/>
  <c r="BS64" i="22"/>
  <c r="CI67" i="22"/>
  <c r="CK76" i="22"/>
  <c r="BW57" i="22"/>
  <c r="CM60" i="22"/>
  <c r="CJ64" i="22"/>
  <c r="CJ77" i="22"/>
  <c r="BW77" i="22"/>
  <c r="CM80" i="22"/>
  <c r="CL191" i="22"/>
  <c r="CG41" i="22"/>
  <c r="BS38" i="22"/>
  <c r="CI41" i="22"/>
  <c r="AO42" i="22"/>
  <c r="CJ23" i="22"/>
  <c r="CK18" i="22"/>
  <c r="CN23" i="22"/>
  <c r="CI25" i="22"/>
  <c r="CK19" i="22"/>
  <c r="BS140" i="22"/>
  <c r="CI144" i="22"/>
  <c r="CG60" i="22"/>
  <c r="BW38" i="22"/>
  <c r="CM41" i="22"/>
  <c r="BW51" i="22"/>
  <c r="CM54" i="22"/>
  <c r="BE76" i="22"/>
  <c r="BU81" i="22"/>
  <c r="CL81" i="22"/>
  <c r="BQ63" i="22"/>
  <c r="CH63" i="22"/>
  <c r="BU31" i="22"/>
  <c r="CL31" i="22"/>
  <c r="BQ56" i="22"/>
  <c r="CJ56" i="22"/>
  <c r="BW110" i="22"/>
  <c r="CM113" i="22"/>
  <c r="DC113" i="22" s="1"/>
  <c r="BQ114" i="22"/>
  <c r="CH114" i="22"/>
  <c r="CX114" i="22" s="1"/>
  <c r="BQ115" i="22"/>
  <c r="CJ115" i="22"/>
  <c r="CZ115" i="22" s="1"/>
  <c r="BS110" i="22"/>
  <c r="CI113" i="22"/>
  <c r="CY113" i="22" s="1"/>
  <c r="BT51" i="22"/>
  <c r="AO55" i="22"/>
  <c r="BS51" i="22"/>
  <c r="AO35" i="22"/>
  <c r="BH35" i="22"/>
  <c r="AK68" i="22"/>
  <c r="BB68" i="22"/>
  <c r="BR73" i="22"/>
  <c r="CH73" i="22" s="1"/>
  <c r="CX73" i="22" s="1"/>
  <c r="DN73" i="22" s="1"/>
  <c r="BA73" i="22"/>
  <c r="BU47" i="22"/>
  <c r="BE93" i="22"/>
  <c r="BV93" i="22"/>
  <c r="CL93" i="22" s="1"/>
  <c r="DB93" i="22" s="1"/>
  <c r="DR93" i="22" s="1"/>
  <c r="BB102" i="22"/>
  <c r="AK102" i="22"/>
  <c r="BF123" i="22"/>
  <c r="AP120" i="22"/>
  <c r="AO120" i="22" s="1"/>
  <c r="AO123" i="22"/>
  <c r="BH107" i="22"/>
  <c r="AR104" i="22"/>
  <c r="AO136" i="22"/>
  <c r="BF136" i="22"/>
  <c r="AP201" i="22"/>
  <c r="BA51" i="22"/>
  <c r="BE118" i="22"/>
  <c r="BV118" i="22"/>
  <c r="BT93" i="22"/>
  <c r="BD90" i="22"/>
  <c r="AK87" i="22"/>
  <c r="BB87" i="22"/>
  <c r="AL84" i="22"/>
  <c r="AK84" i="22" s="1"/>
  <c r="AK89" i="22"/>
  <c r="BB89" i="22"/>
  <c r="BV95" i="22"/>
  <c r="CL95" i="22" s="1"/>
  <c r="DB95" i="22" s="1"/>
  <c r="DR95" i="22" s="1"/>
  <c r="BR134" i="22"/>
  <c r="BA134" i="22"/>
  <c r="BS107" i="22"/>
  <c r="BC104" i="22"/>
  <c r="BS130" i="22"/>
  <c r="BC126" i="22"/>
  <c r="BA137" i="22"/>
  <c r="BR137" i="22"/>
  <c r="Y193" i="22"/>
  <c r="Y110" i="22"/>
  <c r="AO113" i="22"/>
  <c r="AQ194" i="22"/>
  <c r="AQ203" i="22" s="1"/>
  <c r="BX41" i="22"/>
  <c r="CN41" i="22" s="1"/>
  <c r="BH38" i="22"/>
  <c r="AO75" i="22"/>
  <c r="BH75" i="22"/>
  <c r="AR57" i="22"/>
  <c r="BH60" i="22"/>
  <c r="AK76" i="22"/>
  <c r="AP38" i="22"/>
  <c r="BF41" i="22"/>
  <c r="BE68" i="22"/>
  <c r="BX68" i="22"/>
  <c r="BE42" i="22"/>
  <c r="BX42" i="22"/>
  <c r="CN42" i="22" s="1"/>
  <c r="DD42" i="22" s="1"/>
  <c r="DT42" i="22" s="1"/>
  <c r="BE55" i="22"/>
  <c r="BX55" i="22"/>
  <c r="BA48" i="22"/>
  <c r="BT48" i="22"/>
  <c r="CJ48" i="22" s="1"/>
  <c r="CZ48" i="22" s="1"/>
  <c r="DP48" i="22" s="1"/>
  <c r="BC195" i="22"/>
  <c r="BE47" i="22"/>
  <c r="BQ67" i="22"/>
  <c r="BE117" i="22"/>
  <c r="BX117" i="22"/>
  <c r="CN117" i="22" s="1"/>
  <c r="BT130" i="22"/>
  <c r="BT195" i="22" s="1"/>
  <c r="BD126" i="22"/>
  <c r="BE33" i="22"/>
  <c r="BE88" i="22"/>
  <c r="BV88" i="22"/>
  <c r="BQ41" i="22"/>
  <c r="BQ47" i="22"/>
  <c r="BT57" i="22"/>
  <c r="BU74" i="22"/>
  <c r="BR93" i="22"/>
  <c r="CH93" i="22" s="1"/>
  <c r="CX93" i="22" s="1"/>
  <c r="DN93" i="22" s="1"/>
  <c r="BA93" i="22"/>
  <c r="BE94" i="22"/>
  <c r="BX94" i="22"/>
  <c r="AO101" i="22"/>
  <c r="BF101" i="22"/>
  <c r="BF107" i="22"/>
  <c r="AO107" i="22"/>
  <c r="AP104" i="22"/>
  <c r="BA131" i="22"/>
  <c r="BR131" i="22"/>
  <c r="BF132" i="22"/>
  <c r="AO132" i="22"/>
  <c r="BR61" i="22"/>
  <c r="BA61" i="22"/>
  <c r="BT64" i="22"/>
  <c r="BT77" i="22"/>
  <c r="AK101" i="22"/>
  <c r="BB101" i="22"/>
  <c r="AK130" i="22"/>
  <c r="BB130" i="22"/>
  <c r="AL126" i="22"/>
  <c r="AK126" i="22" s="1"/>
  <c r="BE137" i="22"/>
  <c r="BV137" i="22"/>
  <c r="BE36" i="22"/>
  <c r="BQ55" i="22"/>
  <c r="BF102" i="22"/>
  <c r="AO102" i="22"/>
  <c r="AO108" i="22"/>
  <c r="BF108" i="22"/>
  <c r="BU116" i="22"/>
  <c r="BT123" i="22"/>
  <c r="BD120" i="22"/>
  <c r="BQ133" i="22"/>
  <c r="AO62" i="22"/>
  <c r="BF62" i="22"/>
  <c r="AR77" i="22"/>
  <c r="BH80" i="22"/>
  <c r="BV60" i="22"/>
  <c r="CL60" i="22" s="1"/>
  <c r="DB60" i="22" s="1"/>
  <c r="DR60" i="22" s="1"/>
  <c r="BB100" i="22"/>
  <c r="AK100" i="22"/>
  <c r="AL97" i="22"/>
  <c r="BB143" i="22"/>
  <c r="AK143" i="22"/>
  <c r="AA180" i="22"/>
  <c r="AA187" i="22" s="1"/>
  <c r="BE148" i="22"/>
  <c r="BX148" i="22"/>
  <c r="AK148" i="22"/>
  <c r="BB148" i="22"/>
  <c r="Y38" i="22"/>
  <c r="AR64" i="22"/>
  <c r="AO64" i="22" s="1"/>
  <c r="BH67" i="22"/>
  <c r="AR70" i="22"/>
  <c r="AO70" i="22" s="1"/>
  <c r="BH73" i="22"/>
  <c r="BH191" i="22"/>
  <c r="BE191" i="22" s="1"/>
  <c r="BX33" i="22"/>
  <c r="BU33" i="22" s="1"/>
  <c r="AO61" i="22"/>
  <c r="BF61" i="22"/>
  <c r="AO34" i="22"/>
  <c r="BH34" i="22"/>
  <c r="BV80" i="22"/>
  <c r="CL80" i="22" s="1"/>
  <c r="DB80" i="22" s="1"/>
  <c r="DR80" i="22" s="1"/>
  <c r="BF77" i="22"/>
  <c r="BT140" i="22"/>
  <c r="BV54" i="22"/>
  <c r="BE54" i="22"/>
  <c r="BF51" i="22"/>
  <c r="BF110" i="22"/>
  <c r="BR124" i="22"/>
  <c r="BA124" i="22"/>
  <c r="BR132" i="22"/>
  <c r="BA132" i="22"/>
  <c r="BF135" i="22"/>
  <c r="AO135" i="22"/>
  <c r="BE149" i="22"/>
  <c r="BV149" i="22"/>
  <c r="BF100" i="22"/>
  <c r="AP97" i="22"/>
  <c r="AO100" i="22"/>
  <c r="AO124" i="22"/>
  <c r="BF124" i="22"/>
  <c r="BQ54" i="22"/>
  <c r="BE74" i="22"/>
  <c r="BV87" i="22"/>
  <c r="CL87" i="22" s="1"/>
  <c r="DB87" i="22" s="1"/>
  <c r="DR87" i="22" s="1"/>
  <c r="BF84" i="22"/>
  <c r="BV89" i="22"/>
  <c r="BE89" i="22"/>
  <c r="BS100" i="22"/>
  <c r="BC97" i="22"/>
  <c r="AK120" i="22"/>
  <c r="AO130" i="22"/>
  <c r="BF130" i="22"/>
  <c r="AP126" i="22"/>
  <c r="AO138" i="22"/>
  <c r="BF138" i="22"/>
  <c r="BT110" i="22"/>
  <c r="BA81" i="22"/>
  <c r="BR81" i="22"/>
  <c r="BQ96" i="22"/>
  <c r="BG104" i="22"/>
  <c r="BW107" i="22"/>
  <c r="AO117" i="22"/>
  <c r="BE133" i="22"/>
  <c r="BV133" i="22"/>
  <c r="BU36" i="22"/>
  <c r="BS87" i="22"/>
  <c r="BC84" i="22"/>
  <c r="BA133" i="22"/>
  <c r="BX113" i="22"/>
  <c r="CN113" i="22" s="1"/>
  <c r="AO114" i="22"/>
  <c r="BH114" i="22"/>
  <c r="BH110" i="22" s="1"/>
  <c r="BB88" i="22"/>
  <c r="AK88" i="22"/>
  <c r="AR90" i="22"/>
  <c r="AO90" i="22" s="1"/>
  <c r="BH95" i="22"/>
  <c r="BE95" i="22" s="1"/>
  <c r="AK108" i="22"/>
  <c r="BB108" i="22"/>
  <c r="BE96" i="22"/>
  <c r="BX96" i="22"/>
  <c r="CN96" i="22" s="1"/>
  <c r="BG123" i="22"/>
  <c r="AQ120" i="22"/>
  <c r="AO134" i="22"/>
  <c r="BF134" i="22"/>
  <c r="AP194" i="22"/>
  <c r="BE115" i="22"/>
  <c r="BX115" i="22"/>
  <c r="AP189" i="22"/>
  <c r="BX54" i="22"/>
  <c r="CN54" i="22" s="1"/>
  <c r="DD54" i="22" s="1"/>
  <c r="DT54" i="22" s="1"/>
  <c r="BH51" i="22"/>
  <c r="AO63" i="22"/>
  <c r="BF63" i="22"/>
  <c r="AO76" i="22"/>
  <c r="BX28" i="22"/>
  <c r="CN28" i="22" s="1"/>
  <c r="DD28" i="22" s="1"/>
  <c r="BH201" i="22"/>
  <c r="BE28" i="22"/>
  <c r="AK74" i="22"/>
  <c r="BB74" i="22"/>
  <c r="AO82" i="22"/>
  <c r="BF82" i="22"/>
  <c r="AR199" i="22"/>
  <c r="AO199" i="22" s="1"/>
  <c r="BH26" i="22"/>
  <c r="BE56" i="22"/>
  <c r="BX56" i="22"/>
  <c r="AK75" i="22"/>
  <c r="BB75" i="22"/>
  <c r="BD42" i="22"/>
  <c r="BD200" i="22" s="1"/>
  <c r="BA80" i="22"/>
  <c r="BR80" i="22"/>
  <c r="CH80" i="22" s="1"/>
  <c r="CX80" i="22" s="1"/>
  <c r="DN80" i="22" s="1"/>
  <c r="BT87" i="22"/>
  <c r="BD84" i="22"/>
  <c r="BR94" i="22"/>
  <c r="BA94" i="22"/>
  <c r="BW100" i="22"/>
  <c r="BG97" i="22"/>
  <c r="BT107" i="22"/>
  <c r="BD104" i="22"/>
  <c r="BU113" i="22"/>
  <c r="BF131" i="22"/>
  <c r="BF195" i="22" s="1"/>
  <c r="AO131" i="22"/>
  <c r="BV191" i="22"/>
  <c r="BQ60" i="22"/>
  <c r="BR95" i="22"/>
  <c r="BA95" i="22"/>
  <c r="BV143" i="22"/>
  <c r="BE143" i="22"/>
  <c r="BU76" i="22"/>
  <c r="BW93" i="22"/>
  <c r="BG90" i="22"/>
  <c r="AO96" i="22"/>
  <c r="BH100" i="22"/>
  <c r="AR97" i="22"/>
  <c r="BA117" i="22"/>
  <c r="BR123" i="22"/>
  <c r="CH123" i="22" s="1"/>
  <c r="CX123" i="22" s="1"/>
  <c r="BA123" i="22"/>
  <c r="BB120" i="22"/>
  <c r="BA135" i="22"/>
  <c r="BR135" i="22"/>
  <c r="BH87" i="22"/>
  <c r="AR84" i="22"/>
  <c r="AO84" i="22" s="1"/>
  <c r="BH130" i="22"/>
  <c r="BH195" i="22" s="1"/>
  <c r="AR126" i="22"/>
  <c r="BW87" i="22"/>
  <c r="BG84" i="22"/>
  <c r="BS93" i="22"/>
  <c r="BC90" i="22"/>
  <c r="AO95" i="22"/>
  <c r="BD100" i="22"/>
  <c r="BD190" i="22" s="1"/>
  <c r="AN97" i="22"/>
  <c r="BB107" i="22"/>
  <c r="BA107" i="22" s="1"/>
  <c r="AK107" i="22"/>
  <c r="BX123" i="22"/>
  <c r="BH120" i="22"/>
  <c r="BW130" i="22"/>
  <c r="BG126" i="22"/>
  <c r="BA136" i="22"/>
  <c r="BR138" i="22"/>
  <c r="BA138" i="22"/>
  <c r="AO94" i="22"/>
  <c r="BX144" i="22"/>
  <c r="CN144" i="22" s="1"/>
  <c r="DD144" i="22" s="1"/>
  <c r="DT144" i="22" s="1"/>
  <c r="AK146" i="22"/>
  <c r="BB146" i="22"/>
  <c r="BR146" i="22" s="1"/>
  <c r="AK147" i="22"/>
  <c r="BB147" i="22"/>
  <c r="BR147" i="22" s="1"/>
  <c r="AO146" i="22"/>
  <c r="BH146" i="22"/>
  <c r="AL197" i="22"/>
  <c r="AK197" i="22" s="1"/>
  <c r="AO147" i="22"/>
  <c r="BH147" i="22"/>
  <c r="BR144" i="22"/>
  <c r="CH144" i="22" s="1"/>
  <c r="BA144" i="22"/>
  <c r="BE144" i="22"/>
  <c r="BH197" i="22"/>
  <c r="BX24" i="22"/>
  <c r="CN24" i="22" s="1"/>
  <c r="BT20" i="22"/>
  <c r="BW28" i="22"/>
  <c r="BG201" i="22"/>
  <c r="BG191" i="22"/>
  <c r="BW33" i="22"/>
  <c r="BG197" i="22"/>
  <c r="BW24" i="22"/>
  <c r="BS28" i="22"/>
  <c r="BC201" i="22"/>
  <c r="BR28" i="22"/>
  <c r="CH28" i="22" s="1"/>
  <c r="CX28" i="22" s="1"/>
  <c r="DN28" i="22" s="1"/>
  <c r="BB201" i="22"/>
  <c r="AK22" i="22"/>
  <c r="BB22" i="22"/>
  <c r="AK24" i="22"/>
  <c r="BB24" i="22"/>
  <c r="AK34" i="22"/>
  <c r="BB34" i="22"/>
  <c r="AP196" i="22"/>
  <c r="AO196" i="22" s="1"/>
  <c r="BF23" i="22"/>
  <c r="BR21" i="22"/>
  <c r="CH21" i="22" s="1"/>
  <c r="BA21" i="22"/>
  <c r="BU18" i="22"/>
  <c r="BW23" i="22"/>
  <c r="BG196" i="22"/>
  <c r="BR25" i="22"/>
  <c r="CH25" i="22" s="1"/>
  <c r="BE18" i="22"/>
  <c r="BS23" i="22"/>
  <c r="BC196" i="22"/>
  <c r="BF197" i="22"/>
  <c r="BV24" i="22"/>
  <c r="CL24" i="22" s="1"/>
  <c r="DB24" i="22" s="1"/>
  <c r="DR24" i="22" s="1"/>
  <c r="BE24" i="22"/>
  <c r="BG199" i="22"/>
  <c r="BW26" i="22"/>
  <c r="BC14" i="22"/>
  <c r="BU19" i="22"/>
  <c r="AK20" i="22"/>
  <c r="BB20" i="22"/>
  <c r="BC197" i="22"/>
  <c r="BS24" i="22"/>
  <c r="BV25" i="22"/>
  <c r="CL25" i="22" s="1"/>
  <c r="BE25" i="22"/>
  <c r="BD193" i="22"/>
  <c r="BG14" i="22"/>
  <c r="BC199" i="22"/>
  <c r="BS26" i="22"/>
  <c r="AK35" i="22"/>
  <c r="BB35" i="22"/>
  <c r="BT26" i="22"/>
  <c r="BD199" i="22"/>
  <c r="BS31" i="22"/>
  <c r="CI31" i="22" s="1"/>
  <c r="CY31" i="22" s="1"/>
  <c r="DO31" i="22" s="1"/>
  <c r="BC202" i="22"/>
  <c r="AO21" i="22"/>
  <c r="BH21" i="22"/>
  <c r="AK36" i="22"/>
  <c r="BB36" i="22"/>
  <c r="AR193" i="22"/>
  <c r="AO193" i="22" s="1"/>
  <c r="BH20" i="22"/>
  <c r="BG202" i="22"/>
  <c r="BD197" i="22"/>
  <c r="BT24" i="22"/>
  <c r="BA18" i="22"/>
  <c r="BU27" i="22"/>
  <c r="BV22" i="22"/>
  <c r="CL22" i="22" s="1"/>
  <c r="DB22" i="22" s="1"/>
  <c r="BE22" i="22"/>
  <c r="BC191" i="22"/>
  <c r="BS33" i="22"/>
  <c r="AO48" i="22"/>
  <c r="BH48" i="22"/>
  <c r="BX48" i="22" s="1"/>
  <c r="BD44" i="22"/>
  <c r="U200" i="22"/>
  <c r="AN200" i="22"/>
  <c r="AK42" i="22"/>
  <c r="AL201" i="22"/>
  <c r="AP202" i="22"/>
  <c r="AP57" i="22"/>
  <c r="AO60" i="22"/>
  <c r="AR14" i="22"/>
  <c r="AO54" i="22"/>
  <c r="AR51" i="22"/>
  <c r="AO51" i="22" s="1"/>
  <c r="AK73" i="22"/>
  <c r="AR201" i="22"/>
  <c r="AO28" i="22"/>
  <c r="AR191" i="22"/>
  <c r="AO191" i="22" s="1"/>
  <c r="AR202" i="22"/>
  <c r="AR44" i="22"/>
  <c r="AO44" i="22" s="1"/>
  <c r="AO33" i="22"/>
  <c r="AL64" i="22"/>
  <c r="AK64" i="22" s="1"/>
  <c r="AK67" i="22"/>
  <c r="AO26" i="22"/>
  <c r="AO41" i="22"/>
  <c r="AR38" i="22"/>
  <c r="AP14" i="22"/>
  <c r="AO67" i="22"/>
  <c r="AO73" i="22"/>
  <c r="AK51" i="22"/>
  <c r="AO80" i="22"/>
  <c r="AP77" i="22"/>
  <c r="AR198" i="22"/>
  <c r="AO198" i="22" s="1"/>
  <c r="AQ180" i="22"/>
  <c r="AQ187" i="22" s="1"/>
  <c r="AK144" i="22"/>
  <c r="AL195" i="22"/>
  <c r="AK195" i="22" s="1"/>
  <c r="AR140" i="22"/>
  <c r="AO140" i="22" s="1"/>
  <c r="AR195" i="22"/>
  <c r="AO195" i="22" s="1"/>
  <c r="AO144" i="22"/>
  <c r="Z180" i="22"/>
  <c r="Z187" i="22" s="1"/>
  <c r="E198" i="22"/>
  <c r="EK198" i="22" s="1"/>
  <c r="AO115" i="22"/>
  <c r="AO116" i="22"/>
  <c r="AR200" i="22"/>
  <c r="AR189" i="22"/>
  <c r="AR194" i="22"/>
  <c r="AR190" i="22"/>
  <c r="AR110" i="22"/>
  <c r="AL113" i="22"/>
  <c r="V190" i="22"/>
  <c r="U113" i="22"/>
  <c r="V110" i="22"/>
  <c r="Y194" i="22"/>
  <c r="Y190" i="22"/>
  <c r="Y200" i="22"/>
  <c r="Z203" i="22"/>
  <c r="AA203" i="22"/>
  <c r="Y202" i="22"/>
  <c r="P180" i="22"/>
  <c r="P187" i="22" s="1"/>
  <c r="Q189" i="22"/>
  <c r="Q203" i="22"/>
  <c r="M190" i="22"/>
  <c r="R187" i="22"/>
  <c r="M31" i="22"/>
  <c r="T180" i="22"/>
  <c r="T187" i="22" s="1"/>
  <c r="M169" i="22"/>
  <c r="Q14" i="22"/>
  <c r="P191" i="22"/>
  <c r="M191" i="22" s="1"/>
  <c r="M33" i="22"/>
  <c r="N202" i="22"/>
  <c r="M202" i="22" s="1"/>
  <c r="P203" i="22"/>
  <c r="M28" i="22"/>
  <c r="N201" i="22"/>
  <c r="M201" i="22" s="1"/>
  <c r="M170" i="22"/>
  <c r="N14" i="22"/>
  <c r="M14" i="22" s="1"/>
  <c r="N189" i="22"/>
  <c r="M189" i="22" s="1"/>
  <c r="F202" i="22"/>
  <c r="E84" i="22"/>
  <c r="EK84" i="22" s="1"/>
  <c r="H14" i="22"/>
  <c r="H180" i="22" s="1"/>
  <c r="H187" i="22" s="1"/>
  <c r="E19" i="22"/>
  <c r="EK19" i="22" s="1"/>
  <c r="E25" i="22"/>
  <c r="EK25" i="22" s="1"/>
  <c r="H202" i="22"/>
  <c r="G180" i="22"/>
  <c r="G187" i="22" s="1"/>
  <c r="G203" i="22"/>
  <c r="J187" i="22"/>
  <c r="I189" i="22"/>
  <c r="L180" i="22"/>
  <c r="L187" i="22" s="1"/>
  <c r="E190" i="22"/>
  <c r="EK190" i="22" s="1"/>
  <c r="E162" i="22"/>
  <c r="EK162" i="22" s="1"/>
  <c r="H189" i="22"/>
  <c r="I14" i="22"/>
  <c r="F189" i="22"/>
  <c r="E170" i="22"/>
  <c r="EK170" i="22" s="1"/>
  <c r="F14" i="22"/>
  <c r="F180" i="22" s="1"/>
  <c r="I203" i="22"/>
  <c r="E33" i="22"/>
  <c r="EK33" i="22" s="1"/>
  <c r="H191" i="22"/>
  <c r="E191" i="22" s="1"/>
  <c r="EK191" i="22" s="1"/>
  <c r="E28" i="22"/>
  <c r="EK28" i="22" s="1"/>
  <c r="F201" i="22"/>
  <c r="E169" i="22"/>
  <c r="EK169" i="22" s="1"/>
  <c r="BX196" i="22" l="1"/>
  <c r="Y189" i="22"/>
  <c r="BB149" i="22"/>
  <c r="AK149" i="22"/>
  <c r="AK57" i="22"/>
  <c r="Y14" i="22"/>
  <c r="BB191" i="22"/>
  <c r="AL191" i="22"/>
  <c r="AO104" i="22"/>
  <c r="AK33" i="22"/>
  <c r="AO200" i="22"/>
  <c r="AK26" i="22"/>
  <c r="AL193" i="22"/>
  <c r="BA26" i="22"/>
  <c r="BA19" i="22"/>
  <c r="DO200" i="22"/>
  <c r="W180" i="22"/>
  <c r="W187" i="22" s="1"/>
  <c r="AL199" i="22"/>
  <c r="AK199" i="22" s="1"/>
  <c r="AK19" i="22"/>
  <c r="BQ51" i="22"/>
  <c r="CY200" i="22"/>
  <c r="AO190" i="22"/>
  <c r="U195" i="22"/>
  <c r="U194" i="22"/>
  <c r="AL196" i="22"/>
  <c r="AK196" i="22" s="1"/>
  <c r="BU117" i="22"/>
  <c r="AL198" i="22"/>
  <c r="BF198" i="22"/>
  <c r="BS193" i="22"/>
  <c r="BA57" i="22"/>
  <c r="AL200" i="22"/>
  <c r="W203" i="22"/>
  <c r="E14" i="22"/>
  <c r="EK14" i="22" s="1"/>
  <c r="BB27" i="22"/>
  <c r="BR27" i="22" s="1"/>
  <c r="CH27" i="22" s="1"/>
  <c r="CX27" i="22" s="1"/>
  <c r="BU144" i="22"/>
  <c r="BC162" i="22"/>
  <c r="BR57" i="22"/>
  <c r="AO162" i="22"/>
  <c r="BE169" i="22"/>
  <c r="Y198" i="22"/>
  <c r="Y203" i="22" s="1"/>
  <c r="AK27" i="22"/>
  <c r="BR118" i="22"/>
  <c r="BQ118" i="22" s="1"/>
  <c r="DA144" i="22"/>
  <c r="BB23" i="22"/>
  <c r="BR23" i="22" s="1"/>
  <c r="CH23" i="22" s="1"/>
  <c r="BE170" i="22"/>
  <c r="ED33" i="22"/>
  <c r="DN191" i="22"/>
  <c r="EJ54" i="22"/>
  <c r="CY51" i="22"/>
  <c r="DO54" i="22"/>
  <c r="BB92" i="22"/>
  <c r="AK92" i="22"/>
  <c r="AL90" i="22"/>
  <c r="AK90" i="22" s="1"/>
  <c r="CZ183" i="22"/>
  <c r="AL162" i="22"/>
  <c r="BE168" i="22"/>
  <c r="BV168" i="22"/>
  <c r="CM158" i="22"/>
  <c r="BW156" i="22"/>
  <c r="CM179" i="22"/>
  <c r="BW177" i="22"/>
  <c r="BU153" i="22"/>
  <c r="CL153" i="22"/>
  <c r="BV154" i="22"/>
  <c r="BV151" i="22" s="1"/>
  <c r="BE154" i="22"/>
  <c r="AN28" i="22"/>
  <c r="X201" i="22"/>
  <c r="U201" i="22" s="1"/>
  <c r="U190" i="22"/>
  <c r="AO77" i="22"/>
  <c r="AL70" i="22"/>
  <c r="AK70" i="22" s="1"/>
  <c r="AK193" i="22"/>
  <c r="BW193" i="22"/>
  <c r="DA22" i="22"/>
  <c r="DR22" i="22"/>
  <c r="EH24" i="22"/>
  <c r="ED28" i="22"/>
  <c r="DN123" i="22"/>
  <c r="ED123" i="22" s="1"/>
  <c r="CK113" i="22"/>
  <c r="DD113" i="22"/>
  <c r="EJ42" i="22"/>
  <c r="DQ42" i="22"/>
  <c r="DP115" i="22"/>
  <c r="CW115" i="22"/>
  <c r="DS113" i="22"/>
  <c r="DC110" i="22"/>
  <c r="CI140" i="22"/>
  <c r="CY144" i="22"/>
  <c r="CM140" i="22"/>
  <c r="DC144" i="22"/>
  <c r="EF73" i="22"/>
  <c r="EF70" i="22" s="1"/>
  <c r="DP70" i="22"/>
  <c r="CL59" i="22"/>
  <c r="BU59" i="22"/>
  <c r="CL99" i="22"/>
  <c r="BU99" i="22"/>
  <c r="BT156" i="22"/>
  <c r="CJ158" i="22"/>
  <c r="AK40" i="22"/>
  <c r="BB40" i="22"/>
  <c r="AL38" i="22"/>
  <c r="AK38" i="22" s="1"/>
  <c r="BQ142" i="22"/>
  <c r="CH142" i="22"/>
  <c r="BR159" i="22"/>
  <c r="BA159" i="22"/>
  <c r="EH113" i="22"/>
  <c r="EH147" i="22"/>
  <c r="BU158" i="22"/>
  <c r="CL158" i="22"/>
  <c r="BT11" i="22"/>
  <c r="CJ13" i="22"/>
  <c r="CH122" i="22"/>
  <c r="BQ122" i="22"/>
  <c r="CL142" i="22"/>
  <c r="BU142" i="22"/>
  <c r="CL122" i="22"/>
  <c r="BU122" i="22"/>
  <c r="CK176" i="22"/>
  <c r="DB176" i="22"/>
  <c r="CL13" i="22"/>
  <c r="BU13" i="22"/>
  <c r="BR165" i="22"/>
  <c r="BA165" i="22"/>
  <c r="BE166" i="22"/>
  <c r="BV166" i="22"/>
  <c r="BF162" i="22"/>
  <c r="BE162" i="22" s="1"/>
  <c r="EH144" i="22"/>
  <c r="DQ144" i="22"/>
  <c r="V14" i="22"/>
  <c r="V180" i="22" s="1"/>
  <c r="CH179" i="22"/>
  <c r="BR177" i="22"/>
  <c r="BQ179" i="22"/>
  <c r="CL174" i="22"/>
  <c r="BU174" i="22"/>
  <c r="EI47" i="22"/>
  <c r="EI44" i="22" s="1"/>
  <c r="DS44" i="22"/>
  <c r="AK79" i="22"/>
  <c r="BB79" i="22"/>
  <c r="AL77" i="22"/>
  <c r="AK77" i="22" s="1"/>
  <c r="BV167" i="22"/>
  <c r="BE167" i="22"/>
  <c r="BF199" i="22"/>
  <c r="CH13" i="22"/>
  <c r="BQ13" i="22"/>
  <c r="BR11" i="22"/>
  <c r="BT170" i="22"/>
  <c r="CJ173" i="22"/>
  <c r="BV92" i="22"/>
  <c r="BV90" i="22" s="1"/>
  <c r="BE92" i="22"/>
  <c r="BX156" i="22"/>
  <c r="CN158" i="22"/>
  <c r="ED60" i="22"/>
  <c r="EC60" i="22" s="1"/>
  <c r="EL60" i="22" s="1"/>
  <c r="DM60" i="22"/>
  <c r="BV159" i="22"/>
  <c r="BE159" i="22"/>
  <c r="EH80" i="22"/>
  <c r="EH95" i="22"/>
  <c r="EG19" i="22"/>
  <c r="CL175" i="22"/>
  <c r="BU175" i="22"/>
  <c r="CH186" i="22"/>
  <c r="BQ186" i="22"/>
  <c r="CI13" i="22"/>
  <c r="BS11" i="22"/>
  <c r="CX169" i="22"/>
  <c r="DN169" i="22" s="1"/>
  <c r="AK168" i="22"/>
  <c r="BB168" i="22"/>
  <c r="BA167" i="22"/>
  <c r="BR167" i="22"/>
  <c r="BS177" i="22"/>
  <c r="CI179" i="22"/>
  <c r="BR99" i="22"/>
  <c r="BA99" i="22"/>
  <c r="E202" i="22"/>
  <c r="EK202" i="22" s="1"/>
  <c r="BB199" i="22"/>
  <c r="BA199" i="22" s="1"/>
  <c r="ED19" i="22"/>
  <c r="DM19" i="22"/>
  <c r="EH87" i="22"/>
  <c r="EH60" i="22"/>
  <c r="ED93" i="22"/>
  <c r="CK117" i="22"/>
  <c r="DD117" i="22"/>
  <c r="DD201" i="22" s="1"/>
  <c r="DQ93" i="22"/>
  <c r="EH93" i="22"/>
  <c r="EG93" i="22" s="1"/>
  <c r="U193" i="22"/>
  <c r="BA184" i="22"/>
  <c r="BR184" i="22"/>
  <c r="CH46" i="22"/>
  <c r="BQ46" i="22"/>
  <c r="CL53" i="22"/>
  <c r="BU53" i="22"/>
  <c r="DQ116" i="22"/>
  <c r="EH116" i="22"/>
  <c r="EG116" i="22" s="1"/>
  <c r="AN25" i="22"/>
  <c r="X198" i="22"/>
  <c r="U198" i="22" s="1"/>
  <c r="U25" i="22"/>
  <c r="CL86" i="22"/>
  <c r="BU86" i="22"/>
  <c r="CI165" i="22"/>
  <c r="BS162" i="22"/>
  <c r="BA86" i="22"/>
  <c r="BR86" i="22"/>
  <c r="BR176" i="22"/>
  <c r="BA176" i="22"/>
  <c r="BS153" i="22"/>
  <c r="BC151" i="22"/>
  <c r="CK184" i="22"/>
  <c r="DD184" i="22"/>
  <c r="CM13" i="22"/>
  <c r="BW11" i="22"/>
  <c r="BB106" i="22"/>
  <c r="BB104" i="22" s="1"/>
  <c r="BA104" i="22" s="1"/>
  <c r="AK106" i="22"/>
  <c r="CL169" i="22"/>
  <c r="BU169" i="22"/>
  <c r="BX179" i="22"/>
  <c r="BH177" i="22"/>
  <c r="BE177" i="22" s="1"/>
  <c r="DP144" i="22"/>
  <c r="CZ140" i="22"/>
  <c r="X14" i="22"/>
  <c r="BC170" i="22"/>
  <c r="BS173" i="22"/>
  <c r="BC198" i="22"/>
  <c r="CL66" i="22"/>
  <c r="BU66" i="22"/>
  <c r="CH153" i="22"/>
  <c r="BQ153" i="22"/>
  <c r="CN165" i="22"/>
  <c r="BX162" i="22"/>
  <c r="BA183" i="22"/>
  <c r="BR183" i="22"/>
  <c r="EE99" i="22"/>
  <c r="BX170" i="22"/>
  <c r="CN173" i="22"/>
  <c r="BB173" i="22"/>
  <c r="AK173" i="22"/>
  <c r="AL170" i="22"/>
  <c r="AK170" i="22" s="1"/>
  <c r="BB154" i="22"/>
  <c r="AK154" i="22"/>
  <c r="AL151" i="22"/>
  <c r="AK151" i="22" s="1"/>
  <c r="EF118" i="22"/>
  <c r="DQ36" i="22"/>
  <c r="EH36" i="22"/>
  <c r="EG36" i="22" s="1"/>
  <c r="EF48" i="22"/>
  <c r="DM48" i="22"/>
  <c r="DP44" i="22"/>
  <c r="CG117" i="22"/>
  <c r="CX117" i="22"/>
  <c r="BW151" i="22"/>
  <c r="CM153" i="22"/>
  <c r="CM162" i="22"/>
  <c r="DC165" i="22"/>
  <c r="U31" i="22"/>
  <c r="V202" i="22"/>
  <c r="V203" i="22" s="1"/>
  <c r="AL31" i="22"/>
  <c r="CH59" i="22"/>
  <c r="BQ59" i="22"/>
  <c r="CH175" i="22"/>
  <c r="BQ175" i="22"/>
  <c r="CL112" i="22"/>
  <c r="BU112" i="22"/>
  <c r="BB166" i="22"/>
  <c r="AK166" i="22"/>
  <c r="EH27" i="22"/>
  <c r="DQ27" i="22"/>
  <c r="AN169" i="22"/>
  <c r="AN202" i="22" s="1"/>
  <c r="X162" i="22"/>
  <c r="U169" i="22"/>
  <c r="AM194" i="22"/>
  <c r="AM203" i="22" s="1"/>
  <c r="BC123" i="22"/>
  <c r="AM120" i="22"/>
  <c r="AM180" i="22" s="1"/>
  <c r="AM187" i="22" s="1"/>
  <c r="AB180" i="22"/>
  <c r="AB187" i="22" s="1"/>
  <c r="ED26" i="22"/>
  <c r="EE31" i="22"/>
  <c r="CG144" i="22"/>
  <c r="CX144" i="22"/>
  <c r="EJ144" i="22"/>
  <c r="BV110" i="22"/>
  <c r="ED80" i="22"/>
  <c r="EC80" i="22" s="1"/>
  <c r="EL80" i="22" s="1"/>
  <c r="DM80" i="22"/>
  <c r="DA28" i="22"/>
  <c r="DT28" i="22"/>
  <c r="DM73" i="22"/>
  <c r="ED73" i="22"/>
  <c r="EC73" i="22" s="1"/>
  <c r="EL73" i="22" s="1"/>
  <c r="DO113" i="22"/>
  <c r="CY110" i="22"/>
  <c r="DN114" i="22"/>
  <c r="CW114" i="22"/>
  <c r="CK144" i="22"/>
  <c r="CG116" i="22"/>
  <c r="CX116" i="22"/>
  <c r="CY44" i="22"/>
  <c r="DO47" i="22"/>
  <c r="CL72" i="22"/>
  <c r="BU72" i="22"/>
  <c r="CN13" i="22"/>
  <c r="BX11" i="22"/>
  <c r="BU11" i="22" s="1"/>
  <c r="CJ165" i="22"/>
  <c r="BB112" i="22"/>
  <c r="AK112" i="22"/>
  <c r="DB165" i="22"/>
  <c r="CL173" i="22"/>
  <c r="BU173" i="22"/>
  <c r="BV170" i="22"/>
  <c r="BR160" i="22"/>
  <c r="BA160" i="22"/>
  <c r="BW170" i="22"/>
  <c r="CM173" i="22"/>
  <c r="CM198" i="22" s="1"/>
  <c r="DB160" i="22"/>
  <c r="CK160" i="22"/>
  <c r="BE183" i="22"/>
  <c r="BV183" i="22"/>
  <c r="EH191" i="22"/>
  <c r="U28" i="22"/>
  <c r="AM189" i="22"/>
  <c r="CL40" i="22"/>
  <c r="BU40" i="22"/>
  <c r="BE156" i="22"/>
  <c r="BB158" i="22"/>
  <c r="AK158" i="22"/>
  <c r="AL156" i="22"/>
  <c r="AK156" i="22" s="1"/>
  <c r="DO166" i="22"/>
  <c r="EE143" i="22"/>
  <c r="BT177" i="22"/>
  <c r="CJ179" i="22"/>
  <c r="CJ153" i="22"/>
  <c r="BT151" i="22"/>
  <c r="CL46" i="22"/>
  <c r="BU46" i="22"/>
  <c r="BV79" i="22"/>
  <c r="BE79" i="22"/>
  <c r="BB174" i="22"/>
  <c r="AK174" i="22"/>
  <c r="BU186" i="22"/>
  <c r="CL186" i="22"/>
  <c r="AN191" i="22"/>
  <c r="AK191" i="22" s="1"/>
  <c r="BD33" i="22"/>
  <c r="BA177" i="22"/>
  <c r="CH72" i="22"/>
  <c r="BQ72" i="22"/>
  <c r="BC156" i="22"/>
  <c r="BS158" i="22"/>
  <c r="BR161" i="22"/>
  <c r="BA161" i="22"/>
  <c r="CL161" i="22"/>
  <c r="BU161" i="22"/>
  <c r="CZ110" i="22"/>
  <c r="CL106" i="22"/>
  <c r="BU106" i="22"/>
  <c r="BX151" i="22"/>
  <c r="CN153" i="22"/>
  <c r="CH66" i="22"/>
  <c r="BQ66" i="22"/>
  <c r="BF151" i="22"/>
  <c r="BE151" i="22" s="1"/>
  <c r="DT169" i="22"/>
  <c r="EJ169" i="22" s="1"/>
  <c r="EH117" i="22"/>
  <c r="X189" i="22"/>
  <c r="U189" i="22" s="1"/>
  <c r="X202" i="22"/>
  <c r="U202" i="22" s="1"/>
  <c r="CH53" i="22"/>
  <c r="CH51" i="22" s="1"/>
  <c r="BQ53" i="22"/>
  <c r="CL179" i="22"/>
  <c r="BV177" i="22"/>
  <c r="EJ183" i="22"/>
  <c r="CG21" i="22"/>
  <c r="CX21" i="22"/>
  <c r="CK25" i="22"/>
  <c r="DB25" i="22"/>
  <c r="CN197" i="22"/>
  <c r="DD24" i="22"/>
  <c r="CW80" i="22"/>
  <c r="BB70" i="22"/>
  <c r="BA70" i="22" s="1"/>
  <c r="CK96" i="22"/>
  <c r="DD96" i="22"/>
  <c r="CG56" i="22"/>
  <c r="CZ56" i="22"/>
  <c r="DP56" i="22" s="1"/>
  <c r="CG63" i="22"/>
  <c r="CX63" i="22"/>
  <c r="CM38" i="22"/>
  <c r="DC41" i="22"/>
  <c r="CM57" i="22"/>
  <c r="DC60" i="22"/>
  <c r="CI64" i="22"/>
  <c r="CY67" i="22"/>
  <c r="CG18" i="22"/>
  <c r="CX18" i="22"/>
  <c r="CI70" i="22"/>
  <c r="CY73" i="22"/>
  <c r="CM70" i="22"/>
  <c r="DC73" i="22"/>
  <c r="CI57" i="22"/>
  <c r="CY60" i="22"/>
  <c r="CG16" i="22"/>
  <c r="CX16" i="22"/>
  <c r="DC25" i="22"/>
  <c r="DA93" i="22"/>
  <c r="CZ23" i="22"/>
  <c r="CM77" i="22"/>
  <c r="DC80" i="22"/>
  <c r="CG62" i="22"/>
  <c r="CZ62" i="22"/>
  <c r="DP62" i="22" s="1"/>
  <c r="CW19" i="22"/>
  <c r="CX191" i="22"/>
  <c r="CW48" i="22"/>
  <c r="CZ44" i="22"/>
  <c r="CJ57" i="22"/>
  <c r="CY25" i="22"/>
  <c r="CI77" i="22"/>
  <c r="CY80" i="22"/>
  <c r="CX54" i="22"/>
  <c r="DN54" i="22" s="1"/>
  <c r="CG82" i="22"/>
  <c r="CX82" i="22"/>
  <c r="CN38" i="22"/>
  <c r="DD41" i="22"/>
  <c r="DD23" i="22"/>
  <c r="CX25" i="22"/>
  <c r="DA42" i="22"/>
  <c r="CK31" i="22"/>
  <c r="DB31" i="22"/>
  <c r="CK81" i="22"/>
  <c r="DB81" i="22"/>
  <c r="CM51" i="22"/>
  <c r="DC54" i="22"/>
  <c r="CI38" i="22"/>
  <c r="CY41" i="22"/>
  <c r="CG54" i="22"/>
  <c r="CM64" i="22"/>
  <c r="DC67" i="22"/>
  <c r="CK16" i="22"/>
  <c r="DB16" i="22"/>
  <c r="CW73" i="22"/>
  <c r="CZ70" i="22"/>
  <c r="CG136" i="22"/>
  <c r="CX136" i="22"/>
  <c r="DN136" i="22" s="1"/>
  <c r="CH129" i="22"/>
  <c r="BQ129" i="22"/>
  <c r="CL129" i="22"/>
  <c r="BU129" i="22"/>
  <c r="CG19" i="22"/>
  <c r="BW199" i="22"/>
  <c r="CM26" i="22"/>
  <c r="CJ20" i="22"/>
  <c r="CZ20" i="22" s="1"/>
  <c r="DP20" i="22" s="1"/>
  <c r="BS90" i="22"/>
  <c r="CI93" i="22"/>
  <c r="BU143" i="22"/>
  <c r="CL143" i="22"/>
  <c r="DB143" i="22" s="1"/>
  <c r="BT104" i="22"/>
  <c r="CJ107" i="22"/>
  <c r="CZ107" i="22" s="1"/>
  <c r="CJ51" i="22"/>
  <c r="BW196" i="22"/>
  <c r="CM23" i="22"/>
  <c r="DC23" i="22" s="1"/>
  <c r="DS23" i="22" s="1"/>
  <c r="BF189" i="22"/>
  <c r="BS201" i="22"/>
  <c r="CI28" i="22"/>
  <c r="BQ147" i="22"/>
  <c r="CH147" i="22"/>
  <c r="BQ138" i="22"/>
  <c r="CH138" i="22"/>
  <c r="CX138" i="22" s="1"/>
  <c r="DN138" i="22" s="1"/>
  <c r="BW90" i="22"/>
  <c r="CM93" i="22"/>
  <c r="BQ94" i="22"/>
  <c r="CH94" i="22"/>
  <c r="CG80" i="22"/>
  <c r="BU56" i="22"/>
  <c r="CN56" i="22"/>
  <c r="BS84" i="22"/>
  <c r="CI87" i="22"/>
  <c r="BU89" i="22"/>
  <c r="CL89" i="22"/>
  <c r="BQ124" i="22"/>
  <c r="CH124" i="22"/>
  <c r="BQ131" i="22"/>
  <c r="CH131" i="22"/>
  <c r="BU55" i="22"/>
  <c r="CN55" i="22"/>
  <c r="BU68" i="22"/>
  <c r="CN68" i="22"/>
  <c r="BS126" i="22"/>
  <c r="CI130" i="22"/>
  <c r="CY130" i="22" s="1"/>
  <c r="DO130" i="22" s="1"/>
  <c r="BQ134" i="22"/>
  <c r="CH134" i="22"/>
  <c r="CX134" i="22" s="1"/>
  <c r="DN134" i="22" s="1"/>
  <c r="CK93" i="22"/>
  <c r="BU94" i="22"/>
  <c r="CN94" i="22"/>
  <c r="DD94" i="22" s="1"/>
  <c r="DT94" i="22" s="1"/>
  <c r="BS190" i="22"/>
  <c r="AO57" i="22"/>
  <c r="BS197" i="22"/>
  <c r="CI24" i="22"/>
  <c r="CH191" i="22"/>
  <c r="CI23" i="22"/>
  <c r="CY23" i="22" s="1"/>
  <c r="DO23" i="22" s="1"/>
  <c r="BW197" i="22"/>
  <c r="CM24" i="22"/>
  <c r="BX120" i="22"/>
  <c r="CN123" i="22"/>
  <c r="BW84" i="22"/>
  <c r="CM87" i="22"/>
  <c r="BQ95" i="22"/>
  <c r="CH95" i="22"/>
  <c r="BU149" i="22"/>
  <c r="CL149" i="22"/>
  <c r="BV51" i="22"/>
  <c r="CL54" i="22"/>
  <c r="CK54" i="22" s="1"/>
  <c r="BQ61" i="22"/>
  <c r="CH61" i="22"/>
  <c r="CX61" i="22" s="1"/>
  <c r="DN61" i="22" s="1"/>
  <c r="CG48" i="22"/>
  <c r="CJ44" i="22"/>
  <c r="BQ137" i="22"/>
  <c r="CH137" i="22"/>
  <c r="BT90" i="22"/>
  <c r="CJ93" i="22"/>
  <c r="CG93" i="22" s="1"/>
  <c r="BU48" i="22"/>
  <c r="CN48" i="22"/>
  <c r="DD48" i="22" s="1"/>
  <c r="DT48" i="22" s="1"/>
  <c r="BT197" i="22"/>
  <c r="CJ24" i="22"/>
  <c r="BS199" i="22"/>
  <c r="CI26" i="22"/>
  <c r="BW191" i="22"/>
  <c r="CM33" i="22"/>
  <c r="DC33" i="22" s="1"/>
  <c r="DS33" i="22" s="1"/>
  <c r="BW126" i="22"/>
  <c r="CM130" i="22"/>
  <c r="DC130" i="22" s="1"/>
  <c r="DS130" i="22" s="1"/>
  <c r="BW104" i="22"/>
  <c r="CM107" i="22"/>
  <c r="BU148" i="22"/>
  <c r="CN148" i="22"/>
  <c r="AO38" i="22"/>
  <c r="BS191" i="22"/>
  <c r="CI33" i="22"/>
  <c r="CK22" i="22"/>
  <c r="BT199" i="22"/>
  <c r="CJ26" i="22"/>
  <c r="CK24" i="22"/>
  <c r="CH201" i="22"/>
  <c r="BW201" i="22"/>
  <c r="CM28" i="22"/>
  <c r="CH146" i="22"/>
  <c r="BQ146" i="22"/>
  <c r="BQ135" i="22"/>
  <c r="CH135" i="22"/>
  <c r="BW97" i="22"/>
  <c r="CM100" i="22"/>
  <c r="BT84" i="22"/>
  <c r="CJ87" i="22"/>
  <c r="CN201" i="22"/>
  <c r="CK28" i="22"/>
  <c r="BU96" i="22"/>
  <c r="BU133" i="22"/>
  <c r="CL133" i="22"/>
  <c r="CL197" i="22" s="1"/>
  <c r="BQ81" i="22"/>
  <c r="CH81" i="22"/>
  <c r="BS97" i="22"/>
  <c r="CI100" i="22"/>
  <c r="BQ132" i="22"/>
  <c r="CH132" i="22"/>
  <c r="CX132" i="22" s="1"/>
  <c r="DN132" i="22" s="1"/>
  <c r="BX191" i="22"/>
  <c r="BU191" i="22" s="1"/>
  <c r="CN33" i="22"/>
  <c r="BT120" i="22"/>
  <c r="CJ123" i="22"/>
  <c r="CZ123" i="22" s="1"/>
  <c r="CW123" i="22" s="1"/>
  <c r="BU137" i="22"/>
  <c r="CL137" i="22"/>
  <c r="BU88" i="22"/>
  <c r="CL88" i="22"/>
  <c r="BT126" i="22"/>
  <c r="CJ130" i="22"/>
  <c r="CK42" i="22"/>
  <c r="BS104" i="22"/>
  <c r="CI107" i="22"/>
  <c r="BU118" i="22"/>
  <c r="CL118" i="22"/>
  <c r="DB118" i="22" s="1"/>
  <c r="CG73" i="22"/>
  <c r="CG115" i="22"/>
  <c r="CJ110" i="22"/>
  <c r="CM110" i="22"/>
  <c r="CG114" i="22"/>
  <c r="CI110" i="22"/>
  <c r="BU115" i="22"/>
  <c r="CN115" i="22"/>
  <c r="DD115" i="22" s="1"/>
  <c r="BE51" i="22"/>
  <c r="AO189" i="22"/>
  <c r="BW123" i="22"/>
  <c r="CM123" i="22" s="1"/>
  <c r="BG120" i="22"/>
  <c r="BG180" i="22" s="1"/>
  <c r="BG187" i="22" s="1"/>
  <c r="BG194" i="22"/>
  <c r="BG203" i="22" s="1"/>
  <c r="BX80" i="22"/>
  <c r="BU80" i="22" s="1"/>
  <c r="BH77" i="22"/>
  <c r="BE77" i="22" s="1"/>
  <c r="BV108" i="22"/>
  <c r="BE108" i="22"/>
  <c r="BE41" i="22"/>
  <c r="BV41" i="22"/>
  <c r="CL41" i="22" s="1"/>
  <c r="DB41" i="22" s="1"/>
  <c r="DR41" i="22" s="1"/>
  <c r="BF38" i="22"/>
  <c r="BE38" i="22" s="1"/>
  <c r="AP180" i="22"/>
  <c r="AP187" i="22" s="1"/>
  <c r="AP203" i="22"/>
  <c r="BV140" i="22"/>
  <c r="BX87" i="22"/>
  <c r="BU87" i="22" s="1"/>
  <c r="BH84" i="22"/>
  <c r="BE84" i="22" s="1"/>
  <c r="BX100" i="22"/>
  <c r="BH97" i="22"/>
  <c r="BQ80" i="22"/>
  <c r="BR75" i="22"/>
  <c r="BA75" i="22"/>
  <c r="BH199" i="22"/>
  <c r="BX26" i="22"/>
  <c r="CN26" i="22" s="1"/>
  <c r="DD26" i="22" s="1"/>
  <c r="DT26" i="22" s="1"/>
  <c r="BE26" i="22"/>
  <c r="BA74" i="22"/>
  <c r="BR74" i="22"/>
  <c r="BX201" i="22"/>
  <c r="BU28" i="22"/>
  <c r="BV134" i="22"/>
  <c r="BE134" i="22"/>
  <c r="BA88" i="22"/>
  <c r="BR88" i="22"/>
  <c r="BA149" i="22"/>
  <c r="BR149" i="22"/>
  <c r="AO126" i="22"/>
  <c r="BR100" i="22"/>
  <c r="CH100" i="22" s="1"/>
  <c r="CX100" i="22" s="1"/>
  <c r="DN100" i="22" s="1"/>
  <c r="BA100" i="22"/>
  <c r="BB97" i="22"/>
  <c r="BA120" i="22"/>
  <c r="BR101" i="22"/>
  <c r="BA101" i="22"/>
  <c r="BV132" i="22"/>
  <c r="BE132" i="22"/>
  <c r="BQ93" i="22"/>
  <c r="BX38" i="22"/>
  <c r="BR87" i="22"/>
  <c r="CH87" i="22" s="1"/>
  <c r="CX87" i="22" s="1"/>
  <c r="DN87" i="22" s="1"/>
  <c r="BA87" i="22"/>
  <c r="BB84" i="22"/>
  <c r="BA84" i="22" s="1"/>
  <c r="BV136" i="22"/>
  <c r="CL136" i="22" s="1"/>
  <c r="DB136" i="22" s="1"/>
  <c r="DR136" i="22" s="1"/>
  <c r="BF201" i="22"/>
  <c r="BE201" i="22" s="1"/>
  <c r="BE136" i="22"/>
  <c r="BR102" i="22"/>
  <c r="BA102" i="22"/>
  <c r="BE35" i="22"/>
  <c r="BX35" i="22"/>
  <c r="BR108" i="22"/>
  <c r="BA108" i="22"/>
  <c r="BX34" i="22"/>
  <c r="BE34" i="22"/>
  <c r="BX67" i="22"/>
  <c r="CN67" i="22" s="1"/>
  <c r="DD67" i="22" s="1"/>
  <c r="DT67" i="22" s="1"/>
  <c r="BH64" i="22"/>
  <c r="BE64" i="22" s="1"/>
  <c r="BE67" i="22"/>
  <c r="BU42" i="22"/>
  <c r="BX200" i="22"/>
  <c r="BE60" i="22"/>
  <c r="BX60" i="22"/>
  <c r="BU60" i="22" s="1"/>
  <c r="BH57" i="22"/>
  <c r="BE107" i="22"/>
  <c r="BX107" i="22"/>
  <c r="BH104" i="22"/>
  <c r="BB113" i="22"/>
  <c r="AL110" i="22"/>
  <c r="AK110" i="22" s="1"/>
  <c r="AO201" i="22"/>
  <c r="BG189" i="22"/>
  <c r="BR107" i="22"/>
  <c r="CH107" i="22" s="1"/>
  <c r="CX107" i="22" s="1"/>
  <c r="BQ123" i="22"/>
  <c r="BR120" i="22"/>
  <c r="BQ57" i="22"/>
  <c r="BW190" i="22"/>
  <c r="BU54" i="22"/>
  <c r="BX51" i="22"/>
  <c r="BX95" i="22"/>
  <c r="BH90" i="22"/>
  <c r="BX44" i="22"/>
  <c r="BU44" i="22" s="1"/>
  <c r="BV130" i="22"/>
  <c r="CL130" i="22" s="1"/>
  <c r="DB130" i="22" s="1"/>
  <c r="DR130" i="22" s="1"/>
  <c r="BE130" i="22"/>
  <c r="BF126" i="22"/>
  <c r="BV84" i="22"/>
  <c r="AO97" i="22"/>
  <c r="BE135" i="22"/>
  <c r="BV135" i="22"/>
  <c r="BE80" i="22"/>
  <c r="BV61" i="22"/>
  <c r="BE61" i="22"/>
  <c r="BE73" i="22"/>
  <c r="BX73" i="22"/>
  <c r="CN73" i="22" s="1"/>
  <c r="DD73" i="22" s="1"/>
  <c r="DT73" i="22" s="1"/>
  <c r="BH70" i="22"/>
  <c r="BE70" i="22" s="1"/>
  <c r="BR143" i="22"/>
  <c r="BA143" i="22"/>
  <c r="BF57" i="22"/>
  <c r="BV62" i="22"/>
  <c r="CL62" i="22" s="1"/>
  <c r="DB62" i="22" s="1"/>
  <c r="BE62" i="22"/>
  <c r="BF200" i="22"/>
  <c r="BR130" i="22"/>
  <c r="CH130" i="22" s="1"/>
  <c r="CX130" i="22" s="1"/>
  <c r="DN130" i="22" s="1"/>
  <c r="BA130" i="22"/>
  <c r="BB126" i="22"/>
  <c r="BA126" i="22" s="1"/>
  <c r="BV107" i="22"/>
  <c r="CL107" i="22" s="1"/>
  <c r="DB107" i="22" s="1"/>
  <c r="BF104" i="22"/>
  <c r="BR76" i="22"/>
  <c r="BA76" i="22"/>
  <c r="BE75" i="22"/>
  <c r="BX75" i="22"/>
  <c r="BR89" i="22"/>
  <c r="BA89" i="22"/>
  <c r="BE90" i="22"/>
  <c r="BQ73" i="22"/>
  <c r="BT100" i="22"/>
  <c r="BT190" i="22" s="1"/>
  <c r="BD97" i="22"/>
  <c r="BD194" i="22"/>
  <c r="BE195" i="22"/>
  <c r="BX130" i="22"/>
  <c r="BH126" i="22"/>
  <c r="BE131" i="22"/>
  <c r="BV131" i="22"/>
  <c r="CL131" i="22" s="1"/>
  <c r="DB131" i="22" s="1"/>
  <c r="DR131" i="22" s="1"/>
  <c r="BF190" i="22"/>
  <c r="BW195" i="22"/>
  <c r="BT42" i="22"/>
  <c r="CJ42" i="22" s="1"/>
  <c r="CZ42" i="22" s="1"/>
  <c r="DP42" i="22" s="1"/>
  <c r="BA42" i="22"/>
  <c r="BD38" i="22"/>
  <c r="BE82" i="22"/>
  <c r="BV82" i="22"/>
  <c r="BE63" i="22"/>
  <c r="BV63" i="22"/>
  <c r="BX114" i="22"/>
  <c r="BE114" i="22"/>
  <c r="BV138" i="22"/>
  <c r="CL138" i="22" s="1"/>
  <c r="DB138" i="22" s="1"/>
  <c r="DR138" i="22" s="1"/>
  <c r="BE138" i="22"/>
  <c r="BF202" i="22"/>
  <c r="BE87" i="22"/>
  <c r="BV124" i="22"/>
  <c r="BE124" i="22"/>
  <c r="BV100" i="22"/>
  <c r="CL100" i="22" s="1"/>
  <c r="DB100" i="22" s="1"/>
  <c r="DR100" i="22" s="1"/>
  <c r="BE100" i="22"/>
  <c r="BF97" i="22"/>
  <c r="BE110" i="22"/>
  <c r="BV77" i="22"/>
  <c r="BR148" i="22"/>
  <c r="BA148" i="22"/>
  <c r="AK97" i="22"/>
  <c r="BV102" i="22"/>
  <c r="BE102" i="22"/>
  <c r="BE101" i="22"/>
  <c r="BV101" i="22"/>
  <c r="BQ48" i="22"/>
  <c r="BT44" i="22"/>
  <c r="BE123" i="22"/>
  <c r="BV123" i="22"/>
  <c r="CL123" i="22" s="1"/>
  <c r="DB123" i="22" s="1"/>
  <c r="BF120" i="22"/>
  <c r="BE120" i="22" s="1"/>
  <c r="BF194" i="22"/>
  <c r="BU93" i="22"/>
  <c r="BS195" i="22"/>
  <c r="BR68" i="22"/>
  <c r="CH68" i="22" s="1"/>
  <c r="CX68" i="22" s="1"/>
  <c r="DN68" i="22" s="1"/>
  <c r="BA68" i="22"/>
  <c r="BB64" i="22"/>
  <c r="BA64" i="22" s="1"/>
  <c r="BH202" i="22"/>
  <c r="BQ144" i="22"/>
  <c r="BX146" i="22"/>
  <c r="CN146" i="22" s="1"/>
  <c r="BH198" i="22"/>
  <c r="BE146" i="22"/>
  <c r="BA147" i="22"/>
  <c r="BH140" i="22"/>
  <c r="BE140" i="22" s="1"/>
  <c r="BA146" i="22"/>
  <c r="BB140" i="22"/>
  <c r="BX147" i="22"/>
  <c r="BE147" i="22"/>
  <c r="BR199" i="22"/>
  <c r="BQ26" i="22"/>
  <c r="BB197" i="22"/>
  <c r="BA197" i="22" s="1"/>
  <c r="BR24" i="22"/>
  <c r="CH24" i="22" s="1"/>
  <c r="BA24" i="22"/>
  <c r="AK200" i="22"/>
  <c r="BX20" i="22"/>
  <c r="CN20" i="22" s="1"/>
  <c r="DD20" i="22" s="1"/>
  <c r="DT20" i="22" s="1"/>
  <c r="BH190" i="22"/>
  <c r="BE20" i="22"/>
  <c r="BH193" i="22"/>
  <c r="BE193" i="22" s="1"/>
  <c r="BH14" i="22"/>
  <c r="BX21" i="22"/>
  <c r="CN21" i="22" s="1"/>
  <c r="BH194" i="22"/>
  <c r="BE21" i="22"/>
  <c r="BW202" i="22"/>
  <c r="BR191" i="22"/>
  <c r="BQ19" i="22"/>
  <c r="BR20" i="22"/>
  <c r="BA20" i="22"/>
  <c r="BF14" i="22"/>
  <c r="BU22" i="22"/>
  <c r="BS14" i="22"/>
  <c r="BV197" i="22"/>
  <c r="BU24" i="22"/>
  <c r="BA34" i="22"/>
  <c r="BR34" i="22"/>
  <c r="BR22" i="22"/>
  <c r="CH22" i="22" s="1"/>
  <c r="CX22" i="22" s="1"/>
  <c r="BA22" i="22"/>
  <c r="BB195" i="22"/>
  <c r="BA195" i="22" s="1"/>
  <c r="BR201" i="22"/>
  <c r="BX197" i="22"/>
  <c r="BV23" i="22"/>
  <c r="BE23" i="22"/>
  <c r="BF196" i="22"/>
  <c r="BE196" i="22" s="1"/>
  <c r="BW14" i="22"/>
  <c r="BT193" i="22"/>
  <c r="BA36" i="22"/>
  <c r="BR36" i="22"/>
  <c r="BS202" i="22"/>
  <c r="BR35" i="22"/>
  <c r="BA35" i="22"/>
  <c r="BU25" i="22"/>
  <c r="BB193" i="22"/>
  <c r="BA193" i="22" s="1"/>
  <c r="BQ21" i="22"/>
  <c r="BE197" i="22"/>
  <c r="BA44" i="22"/>
  <c r="BH44" i="22"/>
  <c r="BH189" i="22"/>
  <c r="BH200" i="22"/>
  <c r="BE48" i="22"/>
  <c r="F203" i="22"/>
  <c r="AO202" i="22"/>
  <c r="AO14" i="22"/>
  <c r="U110" i="22"/>
  <c r="AO110" i="22"/>
  <c r="AR180" i="22"/>
  <c r="AO194" i="22"/>
  <c r="AR203" i="22"/>
  <c r="AK113" i="22"/>
  <c r="AL190" i="22"/>
  <c r="AK190" i="22" s="1"/>
  <c r="AL194" i="22"/>
  <c r="N180" i="22"/>
  <c r="M180" i="22" s="1"/>
  <c r="M187" i="22" s="1"/>
  <c r="M203" i="22"/>
  <c r="Q180" i="22"/>
  <c r="Q187" i="22" s="1"/>
  <c r="N203" i="22"/>
  <c r="H203" i="22"/>
  <c r="E201" i="22"/>
  <c r="I180" i="22"/>
  <c r="I187" i="22" s="1"/>
  <c r="E189" i="22"/>
  <c r="EK189" i="22" s="1"/>
  <c r="E203" i="22" l="1"/>
  <c r="EK203" i="22" s="1"/>
  <c r="EK201" i="22"/>
  <c r="BE57" i="22"/>
  <c r="CH118" i="22"/>
  <c r="BR70" i="22"/>
  <c r="BQ70" i="22" s="1"/>
  <c r="BV195" i="22"/>
  <c r="BU51" i="22"/>
  <c r="BE198" i="22"/>
  <c r="CN200" i="22"/>
  <c r="BA27" i="22"/>
  <c r="BE199" i="22"/>
  <c r="U14" i="22"/>
  <c r="CH120" i="22"/>
  <c r="BB196" i="22"/>
  <c r="BA196" i="22" s="1"/>
  <c r="BB190" i="22"/>
  <c r="BA190" i="22" s="1"/>
  <c r="BU170" i="22"/>
  <c r="BA23" i="22"/>
  <c r="CK197" i="22"/>
  <c r="BB162" i="22"/>
  <c r="CN196" i="22"/>
  <c r="BQ177" i="22"/>
  <c r="EG144" i="22"/>
  <c r="Y180" i="22"/>
  <c r="Y187" i="22" s="1"/>
  <c r="U203" i="22"/>
  <c r="BQ120" i="22"/>
  <c r="CW22" i="22"/>
  <c r="DN22" i="22"/>
  <c r="ED22" i="22" s="1"/>
  <c r="DM132" i="22"/>
  <c r="ED132" i="22"/>
  <c r="EJ94" i="22"/>
  <c r="DQ94" i="22"/>
  <c r="DM136" i="22"/>
  <c r="ED136" i="22"/>
  <c r="EC136" i="22" s="1"/>
  <c r="EL136" i="22" s="1"/>
  <c r="DT23" i="22"/>
  <c r="EJ23" i="22" s="1"/>
  <c r="DC77" i="22"/>
  <c r="DS80" i="22"/>
  <c r="CI158" i="22"/>
  <c r="BS156" i="22"/>
  <c r="CZ153" i="22"/>
  <c r="CJ151" i="22"/>
  <c r="DB72" i="22"/>
  <c r="CK72" i="22"/>
  <c r="CL70" i="22"/>
  <c r="EJ28" i="22"/>
  <c r="DQ28" i="22"/>
  <c r="BC189" i="22"/>
  <c r="BC194" i="22"/>
  <c r="BC203" i="22" s="1"/>
  <c r="BS123" i="22"/>
  <c r="BS189" i="22" s="1"/>
  <c r="BC120" i="22"/>
  <c r="BC180" i="22" s="1"/>
  <c r="BC187" i="22" s="1"/>
  <c r="BB31" i="22"/>
  <c r="AL202" i="22"/>
  <c r="AK202" i="22" s="1"/>
  <c r="AK31" i="22"/>
  <c r="AL14" i="22"/>
  <c r="CX153" i="22"/>
  <c r="CG153" i="22"/>
  <c r="CH86" i="22"/>
  <c r="BQ86" i="22"/>
  <c r="DB53" i="22"/>
  <c r="CK53" i="22"/>
  <c r="CI177" i="22"/>
  <c r="CY179" i="22"/>
  <c r="CI193" i="22"/>
  <c r="CZ173" i="22"/>
  <c r="CJ170" i="22"/>
  <c r="DB122" i="22"/>
  <c r="CK122" i="22"/>
  <c r="CK158" i="22"/>
  <c r="DB158" i="22"/>
  <c r="CX142" i="22"/>
  <c r="CG142" i="22"/>
  <c r="DB99" i="22"/>
  <c r="CK99" i="22"/>
  <c r="DB153" i="22"/>
  <c r="CK153" i="22"/>
  <c r="CW27" i="22"/>
  <c r="DN27" i="22"/>
  <c r="CK146" i="22"/>
  <c r="DD146" i="22"/>
  <c r="DR123" i="22"/>
  <c r="EH123" i="22" s="1"/>
  <c r="DQ138" i="22"/>
  <c r="EH138" i="22"/>
  <c r="EG138" i="22" s="1"/>
  <c r="EH131" i="22"/>
  <c r="EG131" i="22" s="1"/>
  <c r="DQ131" i="22"/>
  <c r="DR107" i="22"/>
  <c r="EH107" i="22" s="1"/>
  <c r="DQ136" i="22"/>
  <c r="EH136" i="22"/>
  <c r="DT115" i="22"/>
  <c r="DA115" i="22"/>
  <c r="CK148" i="22"/>
  <c r="DD148" i="22"/>
  <c r="EI130" i="22"/>
  <c r="DS126" i="22"/>
  <c r="EJ48" i="22"/>
  <c r="DQ48" i="22"/>
  <c r="DT44" i="22"/>
  <c r="ED61" i="22"/>
  <c r="EC61" i="22" s="1"/>
  <c r="EL61" i="22" s="1"/>
  <c r="DM61" i="22"/>
  <c r="DM134" i="22"/>
  <c r="ED134" i="22"/>
  <c r="EC134" i="22" s="1"/>
  <c r="EL134" i="22" s="1"/>
  <c r="CZ104" i="22"/>
  <c r="DP107" i="22"/>
  <c r="CY38" i="22"/>
  <c r="DO41" i="22"/>
  <c r="DA81" i="22"/>
  <c r="DR81" i="22"/>
  <c r="CW16" i="22"/>
  <c r="DN16" i="22"/>
  <c r="DC70" i="22"/>
  <c r="DS73" i="22"/>
  <c r="CW18" i="22"/>
  <c r="DN18" i="22"/>
  <c r="DC57" i="22"/>
  <c r="DS60" i="22"/>
  <c r="CW63" i="22"/>
  <c r="DN63" i="22"/>
  <c r="DA96" i="22"/>
  <c r="DT96" i="22"/>
  <c r="DD197" i="22"/>
  <c r="DT24" i="22"/>
  <c r="DB179" i="22"/>
  <c r="CL177" i="22"/>
  <c r="CL193" i="22"/>
  <c r="BR174" i="22"/>
  <c r="BA174" i="22"/>
  <c r="BB198" i="22"/>
  <c r="DB46" i="22"/>
  <c r="CK46" i="22"/>
  <c r="CL44" i="22"/>
  <c r="CZ179" i="22"/>
  <c r="CJ177" i="22"/>
  <c r="DR160" i="22"/>
  <c r="DA160" i="22"/>
  <c r="BQ160" i="22"/>
  <c r="CH160" i="22"/>
  <c r="BA112" i="22"/>
  <c r="BR112" i="22"/>
  <c r="EE47" i="22"/>
  <c r="EE44" i="22" s="1"/>
  <c r="DO44" i="22"/>
  <c r="EE113" i="22"/>
  <c r="EE110" i="22" s="1"/>
  <c r="DO110" i="22"/>
  <c r="BR166" i="22"/>
  <c r="BA166" i="22"/>
  <c r="CX175" i="22"/>
  <c r="CG175" i="22"/>
  <c r="DC153" i="22"/>
  <c r="CM151" i="22"/>
  <c r="CH183" i="22"/>
  <c r="BQ183" i="22"/>
  <c r="BR106" i="22"/>
  <c r="BR104" i="22" s="1"/>
  <c r="BQ104" i="22" s="1"/>
  <c r="BA106" i="22"/>
  <c r="BS151" i="22"/>
  <c r="CI153" i="22"/>
  <c r="CI196" i="22" s="1"/>
  <c r="DB86" i="22"/>
  <c r="CK86" i="22"/>
  <c r="CY13" i="22"/>
  <c r="CI11" i="22"/>
  <c r="DB175" i="22"/>
  <c r="CK175" i="22"/>
  <c r="CL159" i="22"/>
  <c r="CL156" i="22" s="1"/>
  <c r="BU159" i="22"/>
  <c r="BR79" i="22"/>
  <c r="BA79" i="22"/>
  <c r="BB77" i="22"/>
  <c r="BA77" i="22" s="1"/>
  <c r="CX179" i="22"/>
  <c r="CH177" i="22"/>
  <c r="CG179" i="22"/>
  <c r="CK13" i="22"/>
  <c r="DB13" i="22"/>
  <c r="DR176" i="22"/>
  <c r="DA176" i="22"/>
  <c r="CJ11" i="22"/>
  <c r="CZ13" i="22"/>
  <c r="CZ158" i="22"/>
  <c r="CJ156" i="22"/>
  <c r="DB59" i="22"/>
  <c r="CK59" i="22"/>
  <c r="EI113" i="22"/>
  <c r="EI110" i="22" s="1"/>
  <c r="DS110" i="22"/>
  <c r="DC158" i="22"/>
  <c r="CM156" i="22"/>
  <c r="DP183" i="22"/>
  <c r="X203" i="22"/>
  <c r="ED130" i="22"/>
  <c r="DA16" i="22"/>
  <c r="DR16" i="22"/>
  <c r="CY77" i="22"/>
  <c r="DO80" i="22"/>
  <c r="DB173" i="22"/>
  <c r="CL170" i="22"/>
  <c r="CK173" i="22"/>
  <c r="BD169" i="22"/>
  <c r="AK169" i="22"/>
  <c r="AN162" i="22"/>
  <c r="AK162" i="22" s="1"/>
  <c r="DD173" i="22"/>
  <c r="CN170" i="22"/>
  <c r="DD165" i="22"/>
  <c r="DA165" i="22" s="1"/>
  <c r="CN162" i="22"/>
  <c r="CI173" i="22"/>
  <c r="BS170" i="22"/>
  <c r="BS198" i="22"/>
  <c r="BX177" i="22"/>
  <c r="CN179" i="22"/>
  <c r="CK179" i="22" s="1"/>
  <c r="DT184" i="22"/>
  <c r="DA184" i="22"/>
  <c r="BD25" i="22"/>
  <c r="AN198" i="22"/>
  <c r="AK25" i="22"/>
  <c r="AN14" i="22"/>
  <c r="DT117" i="22"/>
  <c r="DT201" i="22" s="1"/>
  <c r="DA117" i="22"/>
  <c r="BA168" i="22"/>
  <c r="BR168" i="22"/>
  <c r="BR200" i="22" s="1"/>
  <c r="DD158" i="22"/>
  <c r="CN156" i="22"/>
  <c r="CG13" i="22"/>
  <c r="CX13" i="22"/>
  <c r="CH11" i="22"/>
  <c r="CX122" i="22"/>
  <c r="CG122" i="22"/>
  <c r="DS144" i="22"/>
  <c r="DS195" i="22" s="1"/>
  <c r="DC140" i="22"/>
  <c r="BD28" i="22"/>
  <c r="AN201" i="22"/>
  <c r="AK201" i="22" s="1"/>
  <c r="AN189" i="22"/>
  <c r="AK28" i="22"/>
  <c r="EE54" i="22"/>
  <c r="EE51" i="22" s="1"/>
  <c r="DO51" i="22"/>
  <c r="EF42" i="22"/>
  <c r="DP38" i="22"/>
  <c r="DM42" i="22"/>
  <c r="DP200" i="22"/>
  <c r="DN107" i="22"/>
  <c r="CW107" i="22"/>
  <c r="EJ67" i="22"/>
  <c r="DQ67" i="22"/>
  <c r="EH41" i="22"/>
  <c r="CM120" i="22"/>
  <c r="DC123" i="22"/>
  <c r="CI104" i="22"/>
  <c r="CY107" i="22"/>
  <c r="CG146" i="22"/>
  <c r="CX146" i="22"/>
  <c r="CK149" i="22"/>
  <c r="DB149" i="22"/>
  <c r="CN120" i="22"/>
  <c r="DD123" i="22"/>
  <c r="DA123" i="22" s="1"/>
  <c r="EE23" i="22"/>
  <c r="CM190" i="22"/>
  <c r="CG147" i="22"/>
  <c r="CX147" i="22"/>
  <c r="DC64" i="22"/>
  <c r="DS67" i="22"/>
  <c r="DN25" i="22"/>
  <c r="DD38" i="22"/>
  <c r="DT41" i="22"/>
  <c r="ED54" i="22"/>
  <c r="EC54" i="22" s="1"/>
  <c r="EL54" i="22" s="1"/>
  <c r="DM54" i="22"/>
  <c r="DO25" i="22"/>
  <c r="EE25" i="22" s="1"/>
  <c r="EF62" i="22"/>
  <c r="DM62" i="22"/>
  <c r="DP57" i="22"/>
  <c r="DP23" i="22"/>
  <c r="EF23" i="22" s="1"/>
  <c r="CW21" i="22"/>
  <c r="DN21" i="22"/>
  <c r="DB106" i="22"/>
  <c r="CK106" i="22"/>
  <c r="CH161" i="22"/>
  <c r="BQ161" i="22"/>
  <c r="BA33" i="22"/>
  <c r="BT33" i="22"/>
  <c r="BD191" i="22"/>
  <c r="BA191" i="22" s="1"/>
  <c r="CK186" i="22"/>
  <c r="DB186" i="22"/>
  <c r="CL183" i="22"/>
  <c r="BU183" i="22"/>
  <c r="DC173" i="22"/>
  <c r="DC198" i="22" s="1"/>
  <c r="CM170" i="22"/>
  <c r="DR165" i="22"/>
  <c r="DD13" i="22"/>
  <c r="CN11" i="22"/>
  <c r="CK11" i="22" s="1"/>
  <c r="BR173" i="22"/>
  <c r="BA173" i="22"/>
  <c r="BB170" i="22"/>
  <c r="BA170" i="22" s="1"/>
  <c r="DB66" i="22"/>
  <c r="CK66" i="22"/>
  <c r="CL64" i="22"/>
  <c r="EF144" i="22"/>
  <c r="DP140" i="22"/>
  <c r="CX46" i="22"/>
  <c r="CG46" i="22"/>
  <c r="CH44" i="22"/>
  <c r="CG44" i="22" s="1"/>
  <c r="CH167" i="22"/>
  <c r="BQ167" i="22"/>
  <c r="ED169" i="22"/>
  <c r="DB174" i="22"/>
  <c r="CK174" i="22"/>
  <c r="CL166" i="22"/>
  <c r="BU166" i="22"/>
  <c r="BV162" i="22"/>
  <c r="BU162" i="22" s="1"/>
  <c r="CH165" i="22"/>
  <c r="BQ165" i="22"/>
  <c r="DB142" i="22"/>
  <c r="CK142" i="22"/>
  <c r="BQ11" i="22"/>
  <c r="DO144" i="22"/>
  <c r="CY140" i="22"/>
  <c r="EG42" i="22"/>
  <c r="EH22" i="22"/>
  <c r="DQ22" i="22"/>
  <c r="BU154" i="22"/>
  <c r="CL154" i="22"/>
  <c r="CL168" i="22"/>
  <c r="BU168" i="22"/>
  <c r="ED191" i="22"/>
  <c r="EJ73" i="22"/>
  <c r="DQ73" i="22"/>
  <c r="ED87" i="22"/>
  <c r="DT199" i="22"/>
  <c r="EJ26" i="22"/>
  <c r="DQ26" i="22"/>
  <c r="DR118" i="22"/>
  <c r="DA118" i="22"/>
  <c r="CZ120" i="22"/>
  <c r="DP123" i="22"/>
  <c r="DM138" i="22"/>
  <c r="ED138" i="22"/>
  <c r="EC138" i="22" s="1"/>
  <c r="EL138" i="22" s="1"/>
  <c r="CW82" i="22"/>
  <c r="DN82" i="22"/>
  <c r="BU177" i="22"/>
  <c r="BB200" i="22"/>
  <c r="BA200" i="22" s="1"/>
  <c r="EJ20" i="22"/>
  <c r="DQ20" i="22"/>
  <c r="DM68" i="22"/>
  <c r="ED68" i="22"/>
  <c r="EC68" i="22" s="1"/>
  <c r="EL68" i="22" s="1"/>
  <c r="EH100" i="22"/>
  <c r="DA62" i="22"/>
  <c r="DR62" i="22"/>
  <c r="EH130" i="22"/>
  <c r="ED100" i="22"/>
  <c r="CG118" i="22"/>
  <c r="CX118" i="22"/>
  <c r="CM104" i="22"/>
  <c r="DC107" i="22"/>
  <c r="DS191" i="22"/>
  <c r="EI33" i="22"/>
  <c r="DS202" i="22"/>
  <c r="BS196" i="22"/>
  <c r="EE130" i="22"/>
  <c r="DO126" i="22"/>
  <c r="DO195" i="22"/>
  <c r="CG124" i="22"/>
  <c r="CX124" i="22"/>
  <c r="EI23" i="22"/>
  <c r="DR143" i="22"/>
  <c r="DA143" i="22"/>
  <c r="EF20" i="22"/>
  <c r="DC51" i="22"/>
  <c r="DS54" i="22"/>
  <c r="DA31" i="22"/>
  <c r="DR31" i="22"/>
  <c r="CJ196" i="22"/>
  <c r="DS25" i="22"/>
  <c r="EI25" i="22" s="1"/>
  <c r="CY57" i="22"/>
  <c r="DO60" i="22"/>
  <c r="CY70" i="22"/>
  <c r="DO73" i="22"/>
  <c r="CY64" i="22"/>
  <c r="DO67" i="22"/>
  <c r="DC38" i="22"/>
  <c r="DS41" i="22"/>
  <c r="EF56" i="22"/>
  <c r="DM56" i="22"/>
  <c r="DP51" i="22"/>
  <c r="DA25" i="22"/>
  <c r="DR25" i="22"/>
  <c r="BU179" i="22"/>
  <c r="CX53" i="22"/>
  <c r="CX51" i="22" s="1"/>
  <c r="CG53" i="22"/>
  <c r="CX66" i="22"/>
  <c r="CX64" i="22" s="1"/>
  <c r="CW64" i="22" s="1"/>
  <c r="CG66" i="22"/>
  <c r="DD153" i="22"/>
  <c r="CN151" i="22"/>
  <c r="CK161" i="22"/>
  <c r="DB161" i="22"/>
  <c r="CX72" i="22"/>
  <c r="CG72" i="22"/>
  <c r="CL79" i="22"/>
  <c r="BU79" i="22"/>
  <c r="EE166" i="22"/>
  <c r="BR158" i="22"/>
  <c r="BB156" i="22"/>
  <c r="BA156" i="22" s="1"/>
  <c r="BA158" i="22"/>
  <c r="DB40" i="22"/>
  <c r="DB38" i="22" s="1"/>
  <c r="CK40" i="22"/>
  <c r="CK165" i="22"/>
  <c r="CZ165" i="22"/>
  <c r="CW116" i="22"/>
  <c r="DN116" i="22"/>
  <c r="DM114" i="22"/>
  <c r="ED114" i="22"/>
  <c r="EC114" i="22" s="1"/>
  <c r="EL114" i="22" s="1"/>
  <c r="DN144" i="22"/>
  <c r="CW144" i="22"/>
  <c r="AL189" i="22"/>
  <c r="U162" i="22"/>
  <c r="X180" i="22"/>
  <c r="X187" i="22" s="1"/>
  <c r="EG27" i="22"/>
  <c r="DB112" i="22"/>
  <c r="CK112" i="22"/>
  <c r="CX59" i="22"/>
  <c r="CX57" i="22" s="1"/>
  <c r="CG59" i="22"/>
  <c r="DS165" i="22"/>
  <c r="DC162" i="22"/>
  <c r="CW117" i="22"/>
  <c r="DN117" i="22"/>
  <c r="EF44" i="22"/>
  <c r="EC48" i="22"/>
  <c r="EL48" i="22" s="1"/>
  <c r="BA154" i="22"/>
  <c r="BR154" i="22"/>
  <c r="BB151" i="22"/>
  <c r="BA151" i="22" s="1"/>
  <c r="CK169" i="22"/>
  <c r="DB169" i="22"/>
  <c r="DC13" i="22"/>
  <c r="CM11" i="22"/>
  <c r="BQ176" i="22"/>
  <c r="CH176" i="22"/>
  <c r="CI162" i="22"/>
  <c r="CY165" i="22"/>
  <c r="BQ184" i="22"/>
  <c r="CH184" i="22"/>
  <c r="EC19" i="22"/>
  <c r="EL19" i="22" s="1"/>
  <c r="CH99" i="22"/>
  <c r="BQ99" i="22"/>
  <c r="CG186" i="22"/>
  <c r="CX186" i="22"/>
  <c r="CL92" i="22"/>
  <c r="BU92" i="22"/>
  <c r="CL167" i="22"/>
  <c r="BU167" i="22"/>
  <c r="BV199" i="22"/>
  <c r="BV156" i="22"/>
  <c r="BU156" i="22" s="1"/>
  <c r="CH159" i="22"/>
  <c r="BQ159" i="22"/>
  <c r="BA40" i="22"/>
  <c r="BR40" i="22"/>
  <c r="BB38" i="22"/>
  <c r="BA38" i="22" s="1"/>
  <c r="EF115" i="22"/>
  <c r="DM115" i="22"/>
  <c r="DP110" i="22"/>
  <c r="DT113" i="22"/>
  <c r="DA113" i="22"/>
  <c r="BU151" i="22"/>
  <c r="CM177" i="22"/>
  <c r="DC179" i="22"/>
  <c r="CM193" i="22"/>
  <c r="BA92" i="22"/>
  <c r="BR92" i="22"/>
  <c r="BB90" i="22"/>
  <c r="BA90" i="22" s="1"/>
  <c r="DA20" i="22"/>
  <c r="CW68" i="22"/>
  <c r="DA67" i="22"/>
  <c r="BE189" i="22"/>
  <c r="CG23" i="22"/>
  <c r="CX23" i="22"/>
  <c r="DA73" i="22"/>
  <c r="DA41" i="22"/>
  <c r="CJ199" i="22"/>
  <c r="CZ26" i="22"/>
  <c r="DP26" i="22" s="1"/>
  <c r="CI191" i="22"/>
  <c r="CY33" i="22"/>
  <c r="CL51" i="22"/>
  <c r="DB54" i="22"/>
  <c r="DR54" i="22" s="1"/>
  <c r="CM84" i="22"/>
  <c r="DC87" i="22"/>
  <c r="CM197" i="22"/>
  <c r="DC24" i="22"/>
  <c r="DA94" i="22"/>
  <c r="CK55" i="22"/>
  <c r="DD55" i="22"/>
  <c r="DT55" i="22" s="1"/>
  <c r="CI84" i="22"/>
  <c r="CY87" i="22"/>
  <c r="CK88" i="22"/>
  <c r="DB88" i="22"/>
  <c r="DR88" i="22" s="1"/>
  <c r="CG81" i="22"/>
  <c r="CX81" i="22"/>
  <c r="DN81" i="22" s="1"/>
  <c r="CJ84" i="22"/>
  <c r="CZ87" i="22"/>
  <c r="CM90" i="22"/>
  <c r="DC93" i="22"/>
  <c r="CW56" i="22"/>
  <c r="CZ51" i="22"/>
  <c r="CG24" i="22"/>
  <c r="CX24" i="22"/>
  <c r="DN24" i="22" s="1"/>
  <c r="BT194" i="22"/>
  <c r="DD33" i="22"/>
  <c r="DT33" i="22" s="1"/>
  <c r="CI97" i="22"/>
  <c r="CY100" i="22"/>
  <c r="CM97" i="22"/>
  <c r="DC100" i="22"/>
  <c r="DS100" i="22" s="1"/>
  <c r="BQ199" i="22"/>
  <c r="CI199" i="22"/>
  <c r="CY26" i="22"/>
  <c r="DA48" i="22"/>
  <c r="DD44" i="22"/>
  <c r="CW61" i="22"/>
  <c r="CG94" i="22"/>
  <c r="CX94" i="22"/>
  <c r="DN94" i="22" s="1"/>
  <c r="CI201" i="22"/>
  <c r="CY28" i="22"/>
  <c r="CG51" i="22"/>
  <c r="DA24" i="22"/>
  <c r="DC191" i="22"/>
  <c r="DC202" i="22"/>
  <c r="CJ197" i="22"/>
  <c r="CZ24" i="22"/>
  <c r="CJ90" i="22"/>
  <c r="CZ93" i="22"/>
  <c r="DP93" i="22" s="1"/>
  <c r="CW62" i="22"/>
  <c r="CZ57" i="22"/>
  <c r="CK21" i="22"/>
  <c r="DD21" i="22"/>
  <c r="CW42" i="22"/>
  <c r="CZ200" i="22"/>
  <c r="CZ38" i="22"/>
  <c r="BA97" i="22"/>
  <c r="DD199" i="22"/>
  <c r="DA26" i="22"/>
  <c r="CM201" i="22"/>
  <c r="DC28" i="22"/>
  <c r="CG95" i="22"/>
  <c r="CX95" i="22"/>
  <c r="CI197" i="22"/>
  <c r="CY24" i="22"/>
  <c r="CN51" i="22"/>
  <c r="CK68" i="22"/>
  <c r="DD68" i="22"/>
  <c r="CK89" i="22"/>
  <c r="DB89" i="22"/>
  <c r="CK56" i="22"/>
  <c r="DD56" i="22"/>
  <c r="CI90" i="22"/>
  <c r="CY93" i="22"/>
  <c r="CM199" i="22"/>
  <c r="DC26" i="22"/>
  <c r="CW54" i="22"/>
  <c r="CZ130" i="22"/>
  <c r="DP130" i="22" s="1"/>
  <c r="DM130" i="22" s="1"/>
  <c r="CK133" i="22"/>
  <c r="DB133" i="22"/>
  <c r="DR133" i="22" s="1"/>
  <c r="DC195" i="22"/>
  <c r="DC126" i="22"/>
  <c r="CG137" i="22"/>
  <c r="CX137" i="22"/>
  <c r="CW138" i="22"/>
  <c r="AO203" i="22"/>
  <c r="DA136" i="22"/>
  <c r="CW134" i="22"/>
  <c r="CG131" i="22"/>
  <c r="CX131" i="22"/>
  <c r="DN131" i="22" s="1"/>
  <c r="CX129" i="22"/>
  <c r="DN129" i="22" s="1"/>
  <c r="CG129" i="22"/>
  <c r="CK137" i="22"/>
  <c r="DB137" i="22"/>
  <c r="CW132" i="22"/>
  <c r="CW136" i="22"/>
  <c r="DA138" i="22"/>
  <c r="DA131" i="22"/>
  <c r="BE202" i="22"/>
  <c r="DB195" i="22"/>
  <c r="CG135" i="22"/>
  <c r="CX135" i="22"/>
  <c r="DN135" i="22" s="1"/>
  <c r="CY195" i="22"/>
  <c r="CY126" i="22"/>
  <c r="DB129" i="22"/>
  <c r="DR129" i="22" s="1"/>
  <c r="CK129" i="22"/>
  <c r="BQ36" i="22"/>
  <c r="CH36" i="22"/>
  <c r="BQ34" i="22"/>
  <c r="CH34" i="22"/>
  <c r="BU102" i="22"/>
  <c r="CL102" i="22"/>
  <c r="BQ148" i="22"/>
  <c r="CH148" i="22"/>
  <c r="BQ76" i="22"/>
  <c r="CH76" i="22"/>
  <c r="CK62" i="22"/>
  <c r="BU61" i="22"/>
  <c r="CL61" i="22"/>
  <c r="DB61" i="22" s="1"/>
  <c r="DR61" i="22" s="1"/>
  <c r="CN64" i="22"/>
  <c r="CK67" i="22"/>
  <c r="CK41" i="22"/>
  <c r="CL38" i="22"/>
  <c r="CK38" i="22" s="1"/>
  <c r="CK143" i="22"/>
  <c r="CL140" i="22"/>
  <c r="CJ193" i="22"/>
  <c r="BQ35" i="22"/>
  <c r="CH35" i="22"/>
  <c r="BV14" i="22"/>
  <c r="CL23" i="22"/>
  <c r="DB23" i="22" s="1"/>
  <c r="DR23" i="22" s="1"/>
  <c r="CK123" i="22"/>
  <c r="BU101" i="22"/>
  <c r="CL101" i="22"/>
  <c r="CL97" i="22" s="1"/>
  <c r="BE97" i="22"/>
  <c r="BU124" i="22"/>
  <c r="CL124" i="22"/>
  <c r="CL120" i="22" s="1"/>
  <c r="CK120" i="22" s="1"/>
  <c r="CK138" i="22"/>
  <c r="BU63" i="22"/>
  <c r="CL63" i="22"/>
  <c r="BX189" i="22"/>
  <c r="CN130" i="22"/>
  <c r="CK130" i="22" s="1"/>
  <c r="BU75" i="22"/>
  <c r="CN75" i="22"/>
  <c r="BE104" i="22"/>
  <c r="CG130" i="22"/>
  <c r="CH126" i="22"/>
  <c r="CN70" i="22"/>
  <c r="CK70" i="22" s="1"/>
  <c r="CK73" i="22"/>
  <c r="BQ102" i="22"/>
  <c r="CH102" i="22"/>
  <c r="BQ88" i="22"/>
  <c r="CH88" i="22"/>
  <c r="BQ75" i="22"/>
  <c r="CH75" i="22"/>
  <c r="BX97" i="22"/>
  <c r="CN100" i="22"/>
  <c r="BX77" i="22"/>
  <c r="BU77" i="22" s="1"/>
  <c r="CN80" i="22"/>
  <c r="DD80" i="22" s="1"/>
  <c r="DT80" i="22" s="1"/>
  <c r="CI190" i="22"/>
  <c r="CH197" i="22"/>
  <c r="CK118" i="22"/>
  <c r="CL110" i="22"/>
  <c r="CL84" i="22"/>
  <c r="CM126" i="22"/>
  <c r="CM189" i="22"/>
  <c r="CM195" i="22"/>
  <c r="CK48" i="22"/>
  <c r="CN44" i="22"/>
  <c r="CG61" i="22"/>
  <c r="CH57" i="22"/>
  <c r="CG57" i="22" s="1"/>
  <c r="CG134" i="22"/>
  <c r="CG138" i="22"/>
  <c r="CM196" i="22"/>
  <c r="CM14" i="22"/>
  <c r="CI202" i="22"/>
  <c r="CG27" i="22"/>
  <c r="BQ89" i="22"/>
  <c r="CH89" i="22"/>
  <c r="BX90" i="22"/>
  <c r="BU90" i="22" s="1"/>
  <c r="CN95" i="22"/>
  <c r="CG107" i="22"/>
  <c r="CJ126" i="22"/>
  <c r="CJ195" i="22"/>
  <c r="CN191" i="22"/>
  <c r="CK191" i="22" s="1"/>
  <c r="CK33" i="22"/>
  <c r="BR193" i="22"/>
  <c r="BQ193" i="22" s="1"/>
  <c r="CH20" i="22"/>
  <c r="CX20" i="22" s="1"/>
  <c r="DN20" i="22" s="1"/>
  <c r="BU147" i="22"/>
  <c r="CN147" i="22"/>
  <c r="CN140" i="22" s="1"/>
  <c r="BX202" i="22"/>
  <c r="CK131" i="22"/>
  <c r="BU135" i="22"/>
  <c r="CL135" i="22"/>
  <c r="BX57" i="22"/>
  <c r="CN60" i="22"/>
  <c r="DD60" i="22" s="1"/>
  <c r="DT60" i="22" s="1"/>
  <c r="BU34" i="22"/>
  <c r="CN34" i="22"/>
  <c r="BU35" i="22"/>
  <c r="CN35" i="22"/>
  <c r="BQ101" i="22"/>
  <c r="CH101" i="22"/>
  <c r="CN199" i="22"/>
  <c r="CK26" i="22"/>
  <c r="CJ120" i="22"/>
  <c r="CG120" i="22" s="1"/>
  <c r="CG123" i="22"/>
  <c r="CG26" i="22"/>
  <c r="CJ104" i="22"/>
  <c r="BQ108" i="22"/>
  <c r="CH108" i="22"/>
  <c r="CL201" i="22"/>
  <c r="CK201" i="22" s="1"/>
  <c r="CK136" i="22"/>
  <c r="BU132" i="22"/>
  <c r="CL132" i="22"/>
  <c r="BU134" i="22"/>
  <c r="CL134" i="22"/>
  <c r="DB134" i="22" s="1"/>
  <c r="DR134" i="22" s="1"/>
  <c r="CM194" i="22"/>
  <c r="CG22" i="22"/>
  <c r="CN14" i="22"/>
  <c r="CN193" i="22"/>
  <c r="CK20" i="22"/>
  <c r="CG68" i="22"/>
  <c r="CH64" i="22"/>
  <c r="CG64" i="22" s="1"/>
  <c r="BU82" i="22"/>
  <c r="CL82" i="22"/>
  <c r="CJ200" i="22"/>
  <c r="CG42" i="22"/>
  <c r="CJ38" i="22"/>
  <c r="BT97" i="22"/>
  <c r="CJ100" i="22"/>
  <c r="BQ143" i="22"/>
  <c r="CH143" i="22"/>
  <c r="CX143" i="22" s="1"/>
  <c r="BR140" i="22"/>
  <c r="BQ140" i="22" s="1"/>
  <c r="BE126" i="22"/>
  <c r="BX104" i="22"/>
  <c r="CN107" i="22"/>
  <c r="CG87" i="22"/>
  <c r="BQ149" i="22"/>
  <c r="CH149" i="22"/>
  <c r="BQ74" i="22"/>
  <c r="CH74" i="22"/>
  <c r="CX74" i="22" s="1"/>
  <c r="DN74" i="22" s="1"/>
  <c r="BX84" i="22"/>
  <c r="BU84" i="22" s="1"/>
  <c r="CN87" i="22"/>
  <c r="DD87" i="22" s="1"/>
  <c r="DT87" i="22" s="1"/>
  <c r="BU108" i="22"/>
  <c r="CL108" i="22"/>
  <c r="CL104" i="22" s="1"/>
  <c r="CG132" i="22"/>
  <c r="CL195" i="22"/>
  <c r="CM191" i="22"/>
  <c r="CM202" i="22"/>
  <c r="CI14" i="22"/>
  <c r="CK94" i="22"/>
  <c r="CI126" i="22"/>
  <c r="CI195" i="22"/>
  <c r="BU114" i="22"/>
  <c r="CN114" i="22"/>
  <c r="DD114" i="22" s="1"/>
  <c r="DD110" i="22" s="1"/>
  <c r="CN198" i="22"/>
  <c r="CK115" i="22"/>
  <c r="BE190" i="22"/>
  <c r="BQ68" i="22"/>
  <c r="BR64" i="22"/>
  <c r="BQ64" i="22" s="1"/>
  <c r="BU138" i="22"/>
  <c r="BV202" i="22"/>
  <c r="BU131" i="22"/>
  <c r="BV190" i="22"/>
  <c r="BU62" i="22"/>
  <c r="BV200" i="22"/>
  <c r="BU200" i="22" s="1"/>
  <c r="BR113" i="22"/>
  <c r="CH113" i="22" s="1"/>
  <c r="CX113" i="22" s="1"/>
  <c r="BA113" i="22"/>
  <c r="BB110" i="22"/>
  <c r="BA110" i="22" s="1"/>
  <c r="BB194" i="22"/>
  <c r="BQ87" i="22"/>
  <c r="BR84" i="22"/>
  <c r="BQ84" i="22" s="1"/>
  <c r="BX126" i="22"/>
  <c r="BX195" i="22"/>
  <c r="BU195" i="22" s="1"/>
  <c r="BF180" i="22"/>
  <c r="BF187" i="22" s="1"/>
  <c r="BU123" i="22"/>
  <c r="BV120" i="22"/>
  <c r="BU120" i="22" s="1"/>
  <c r="BV194" i="22"/>
  <c r="BU100" i="22"/>
  <c r="BV97" i="22"/>
  <c r="BT200" i="22"/>
  <c r="BT38" i="22"/>
  <c r="BQ42" i="22"/>
  <c r="BQ130" i="22"/>
  <c r="BR126" i="22"/>
  <c r="BQ126" i="22" s="1"/>
  <c r="BX70" i="22"/>
  <c r="BU70" i="22" s="1"/>
  <c r="BU73" i="22"/>
  <c r="BU130" i="22"/>
  <c r="BV126" i="22"/>
  <c r="BU126" i="22" s="1"/>
  <c r="BQ107" i="22"/>
  <c r="BU136" i="22"/>
  <c r="BV201" i="22"/>
  <c r="BU201" i="22" s="1"/>
  <c r="BU95" i="22"/>
  <c r="BQ100" i="22"/>
  <c r="BR97" i="22"/>
  <c r="BX199" i="22"/>
  <c r="BU26" i="22"/>
  <c r="BU41" i="22"/>
  <c r="BV38" i="22"/>
  <c r="BU38" i="22" s="1"/>
  <c r="BW120" i="22"/>
  <c r="BW180" i="22" s="1"/>
  <c r="BW187" i="22" s="1"/>
  <c r="BW194" i="22"/>
  <c r="BW203" i="22" s="1"/>
  <c r="BW189" i="22"/>
  <c r="BX64" i="22"/>
  <c r="BU64" i="22" s="1"/>
  <c r="BU67" i="22"/>
  <c r="BQ44" i="22"/>
  <c r="BV198" i="22"/>
  <c r="BE194" i="22"/>
  <c r="BV57" i="22"/>
  <c r="BU107" i="22"/>
  <c r="BV104" i="22"/>
  <c r="BX110" i="22"/>
  <c r="BU110" i="22" s="1"/>
  <c r="BU197" i="22"/>
  <c r="BA140" i="22"/>
  <c r="BX198" i="22"/>
  <c r="BU146" i="22"/>
  <c r="BX140" i="22"/>
  <c r="BU140" i="22" s="1"/>
  <c r="BQ20" i="22"/>
  <c r="BU23" i="22"/>
  <c r="BV196" i="22"/>
  <c r="BV189" i="22"/>
  <c r="BQ23" i="22"/>
  <c r="BX194" i="22"/>
  <c r="BU21" i="22"/>
  <c r="BR197" i="22"/>
  <c r="BQ197" i="22" s="1"/>
  <c r="BQ24" i="22"/>
  <c r="BR195" i="22"/>
  <c r="BQ195" i="22" s="1"/>
  <c r="BQ22" i="22"/>
  <c r="BQ27" i="22"/>
  <c r="BF203" i="22"/>
  <c r="BE14" i="22"/>
  <c r="BX190" i="22"/>
  <c r="BX193" i="22"/>
  <c r="BU20" i="22"/>
  <c r="BX14" i="22"/>
  <c r="BH203" i="22"/>
  <c r="BE200" i="22"/>
  <c r="BH180" i="22"/>
  <c r="BE44" i="22"/>
  <c r="AK194" i="22"/>
  <c r="V187" i="22"/>
  <c r="AR187" i="22"/>
  <c r="AO180" i="22"/>
  <c r="AO187" i="22" s="1"/>
  <c r="N187" i="22"/>
  <c r="E180" i="22"/>
  <c r="F187" i="22"/>
  <c r="CK44" i="22" l="1"/>
  <c r="E187" i="22"/>
  <c r="EK187" i="22" s="1"/>
  <c r="EK180" i="22"/>
  <c r="DA38" i="22"/>
  <c r="BU57" i="22"/>
  <c r="BU97" i="22"/>
  <c r="CG197" i="22"/>
  <c r="BR162" i="22"/>
  <c r="CZ193" i="22"/>
  <c r="U180" i="22"/>
  <c r="U187" i="22" s="1"/>
  <c r="CK193" i="22"/>
  <c r="CK170" i="22"/>
  <c r="BU104" i="22"/>
  <c r="CM180" i="22"/>
  <c r="CM187" i="22" s="1"/>
  <c r="CH97" i="22"/>
  <c r="CW130" i="22"/>
  <c r="CK156" i="22"/>
  <c r="AK14" i="22"/>
  <c r="AL203" i="22"/>
  <c r="BU199" i="22"/>
  <c r="DR14" i="22"/>
  <c r="CG11" i="22"/>
  <c r="DQ134" i="22"/>
  <c r="EH134" i="22"/>
  <c r="EG134" i="22" s="1"/>
  <c r="ED129" i="22"/>
  <c r="DM129" i="22"/>
  <c r="DP165" i="22"/>
  <c r="DB183" i="22"/>
  <c r="CK183" i="22"/>
  <c r="CG161" i="22"/>
  <c r="CX161" i="22"/>
  <c r="DQ184" i="22"/>
  <c r="EJ184" i="22"/>
  <c r="EG184" i="22" s="1"/>
  <c r="BA169" i="22"/>
  <c r="BT169" i="22"/>
  <c r="BD162" i="22"/>
  <c r="DC156" i="22"/>
  <c r="DS158" i="22"/>
  <c r="CZ156" i="22"/>
  <c r="DP158" i="22"/>
  <c r="CX183" i="22"/>
  <c r="CG183" i="22"/>
  <c r="CW175" i="22"/>
  <c r="DN175" i="22"/>
  <c r="EI126" i="22"/>
  <c r="ED27" i="22"/>
  <c r="DM27" i="22"/>
  <c r="DR153" i="22"/>
  <c r="DA153" i="22"/>
  <c r="DP173" i="22"/>
  <c r="CZ170" i="22"/>
  <c r="EI80" i="22"/>
  <c r="EI77" i="22" s="1"/>
  <c r="DS77" i="22"/>
  <c r="EG94" i="22"/>
  <c r="DM22" i="22"/>
  <c r="AL180" i="22"/>
  <c r="AL187" i="22" s="1"/>
  <c r="BQ97" i="22"/>
  <c r="CK107" i="22"/>
  <c r="DD107" i="22"/>
  <c r="DN143" i="22"/>
  <c r="DN195" i="22" s="1"/>
  <c r="CW143" i="22"/>
  <c r="CH195" i="22"/>
  <c r="CG195" i="22" s="1"/>
  <c r="EJ60" i="22"/>
  <c r="DT57" i="22"/>
  <c r="DQ60" i="22"/>
  <c r="CK147" i="22"/>
  <c r="DD147" i="22"/>
  <c r="DD140" i="22" s="1"/>
  <c r="CG148" i="22"/>
  <c r="CX148" i="22"/>
  <c r="CX195" i="22"/>
  <c r="DA137" i="22"/>
  <c r="DR137" i="22"/>
  <c r="ED131" i="22"/>
  <c r="DM131" i="22"/>
  <c r="CW137" i="22"/>
  <c r="DN137" i="22"/>
  <c r="DN126" i="22" s="1"/>
  <c r="EF130" i="22"/>
  <c r="DP126" i="22"/>
  <c r="DP195" i="22"/>
  <c r="CY197" i="22"/>
  <c r="DO24" i="22"/>
  <c r="ED94" i="22"/>
  <c r="EC94" i="22" s="1"/>
  <c r="EL94" i="22" s="1"/>
  <c r="DM94" i="22"/>
  <c r="DC90" i="22"/>
  <c r="DS93" i="22"/>
  <c r="ED81" i="22"/>
  <c r="EC81" i="22" s="1"/>
  <c r="EL81" i="22" s="1"/>
  <c r="DM81" i="22"/>
  <c r="EJ55" i="22"/>
  <c r="DQ55" i="22"/>
  <c r="DT51" i="22"/>
  <c r="CH92" i="22"/>
  <c r="BQ92" i="22"/>
  <c r="BR90" i="22"/>
  <c r="BQ90" i="22" s="1"/>
  <c r="EJ113" i="22"/>
  <c r="DQ113" i="22"/>
  <c r="CG159" i="22"/>
  <c r="CX159" i="22"/>
  <c r="DB92" i="22"/>
  <c r="CK92" i="22"/>
  <c r="CL90" i="22"/>
  <c r="CG184" i="22"/>
  <c r="CX184" i="22"/>
  <c r="CX176" i="22"/>
  <c r="CG176" i="22"/>
  <c r="DR169" i="22"/>
  <c r="DA169" i="22"/>
  <c r="DN59" i="22"/>
  <c r="CW59" i="22"/>
  <c r="ED116" i="22"/>
  <c r="EC116" i="22" s="1"/>
  <c r="EL116" i="22" s="1"/>
  <c r="DM116" i="22"/>
  <c r="DN72" i="22"/>
  <c r="CW72" i="22"/>
  <c r="DT153" i="22"/>
  <c r="DD151" i="22"/>
  <c r="DN53" i="22"/>
  <c r="CW53" i="22"/>
  <c r="EI54" i="22"/>
  <c r="EI51" i="22" s="1"/>
  <c r="DS51" i="22"/>
  <c r="CW124" i="22"/>
  <c r="DN124" i="22"/>
  <c r="EE126" i="22"/>
  <c r="EI191" i="22"/>
  <c r="EI202" i="22"/>
  <c r="DN118" i="22"/>
  <c r="CW118" i="22"/>
  <c r="CX165" i="22"/>
  <c r="CG165" i="22"/>
  <c r="CH173" i="22"/>
  <c r="BQ173" i="22"/>
  <c r="DD11" i="22"/>
  <c r="DA11" i="22" s="1"/>
  <c r="DT13" i="22"/>
  <c r="DR186" i="22"/>
  <c r="DA186" i="22"/>
  <c r="EF57" i="22"/>
  <c r="EC62" i="22"/>
  <c r="EL62" i="22" s="1"/>
  <c r="DD120" i="22"/>
  <c r="DT123" i="22"/>
  <c r="CW146" i="22"/>
  <c r="DN146" i="22"/>
  <c r="DS123" i="22"/>
  <c r="DC120" i="22"/>
  <c r="ED107" i="22"/>
  <c r="DM107" i="22"/>
  <c r="EF38" i="22"/>
  <c r="EF200" i="22"/>
  <c r="EC42" i="22"/>
  <c r="EL42" i="22" s="1"/>
  <c r="BT28" i="22"/>
  <c r="BD189" i="22"/>
  <c r="BD201" i="22"/>
  <c r="BA201" i="22" s="1"/>
  <c r="BA28" i="22"/>
  <c r="CW122" i="22"/>
  <c r="DN122" i="22"/>
  <c r="CX120" i="22"/>
  <c r="CW120" i="22" s="1"/>
  <c r="AK198" i="22"/>
  <c r="AN203" i="22"/>
  <c r="DD179" i="22"/>
  <c r="DA179" i="22" s="1"/>
  <c r="CN177" i="22"/>
  <c r="CI170" i="22"/>
  <c r="CY173" i="22"/>
  <c r="CI198" i="22"/>
  <c r="DT173" i="22"/>
  <c r="DD170" i="22"/>
  <c r="DD198" i="22"/>
  <c r="EC130" i="22"/>
  <c r="EL130" i="22" s="1"/>
  <c r="EF183" i="22"/>
  <c r="EH176" i="22"/>
  <c r="EG176" i="22" s="1"/>
  <c r="DQ176" i="22"/>
  <c r="CG177" i="22"/>
  <c r="CH79" i="22"/>
  <c r="BQ79" i="22"/>
  <c r="BR77" i="22"/>
  <c r="BQ77" i="22" s="1"/>
  <c r="DA175" i="22"/>
  <c r="DR175" i="22"/>
  <c r="CX160" i="22"/>
  <c r="CG160" i="22"/>
  <c r="BR170" i="22"/>
  <c r="BQ170" i="22" s="1"/>
  <c r="CH174" i="22"/>
  <c r="BQ174" i="22"/>
  <c r="BR198" i="22"/>
  <c r="CK177" i="22"/>
  <c r="EJ96" i="22"/>
  <c r="EG96" i="22" s="1"/>
  <c r="DQ96" i="22"/>
  <c r="EI60" i="22"/>
  <c r="EI57" i="22" s="1"/>
  <c r="DS57" i="22"/>
  <c r="EI73" i="22"/>
  <c r="EI70" i="22" s="1"/>
  <c r="DS70" i="22"/>
  <c r="EH81" i="22"/>
  <c r="EG81" i="22" s="1"/>
  <c r="DQ81" i="22"/>
  <c r="EF107" i="22"/>
  <c r="EF104" i="22" s="1"/>
  <c r="DP104" i="22"/>
  <c r="EG48" i="22"/>
  <c r="EJ44" i="22"/>
  <c r="DT148" i="22"/>
  <c r="DA148" i="22"/>
  <c r="EJ115" i="22"/>
  <c r="EG115" i="22" s="1"/>
  <c r="DQ115" i="22"/>
  <c r="CW142" i="22"/>
  <c r="DN142" i="22"/>
  <c r="DR53" i="22"/>
  <c r="DA53" i="22"/>
  <c r="BS194" i="22"/>
  <c r="BS203" i="22" s="1"/>
  <c r="BS120" i="22"/>
  <c r="BS180" i="22" s="1"/>
  <c r="BS187" i="22" s="1"/>
  <c r="CI123" i="22"/>
  <c r="DP153" i="22"/>
  <c r="CZ151" i="22"/>
  <c r="CK108" i="22"/>
  <c r="DB108" i="22"/>
  <c r="DC199" i="22"/>
  <c r="DS26" i="22"/>
  <c r="DA89" i="22"/>
  <c r="DR89" i="22"/>
  <c r="CW95" i="22"/>
  <c r="DN95" i="22"/>
  <c r="CZ197" i="22"/>
  <c r="DP24" i="22"/>
  <c r="DO100" i="22"/>
  <c r="CY97" i="22"/>
  <c r="ED24" i="22"/>
  <c r="DN197" i="22"/>
  <c r="DM24" i="22"/>
  <c r="DC84" i="22"/>
  <c r="DS87" i="22"/>
  <c r="CY14" i="22"/>
  <c r="DO33" i="22"/>
  <c r="DC177" i="22"/>
  <c r="DS179" i="22"/>
  <c r="DC193" i="22"/>
  <c r="DM117" i="22"/>
  <c r="ED117" i="22"/>
  <c r="EC117" i="22" s="1"/>
  <c r="EL117" i="22" s="1"/>
  <c r="EI41" i="22"/>
  <c r="EI38" i="22" s="1"/>
  <c r="DS38" i="22"/>
  <c r="EE73" i="22"/>
  <c r="EE70" i="22" s="1"/>
  <c r="DO70" i="22"/>
  <c r="EG22" i="22"/>
  <c r="DB166" i="22"/>
  <c r="CK166" i="22"/>
  <c r="CL162" i="22"/>
  <c r="CK162" i="22" s="1"/>
  <c r="EJ87" i="22"/>
  <c r="DT84" i="22"/>
  <c r="DQ87" i="22"/>
  <c r="CG149" i="22"/>
  <c r="CX149" i="22"/>
  <c r="CG108" i="22"/>
  <c r="CX108" i="22"/>
  <c r="CL190" i="22"/>
  <c r="EJ80" i="22"/>
  <c r="DT77" i="22"/>
  <c r="DQ80" i="22"/>
  <c r="CK124" i="22"/>
  <c r="DB124" i="22"/>
  <c r="DB120" i="22" s="1"/>
  <c r="EH129" i="22"/>
  <c r="DQ129" i="22"/>
  <c r="ED135" i="22"/>
  <c r="EC135" i="22" s="1"/>
  <c r="EL135" i="22" s="1"/>
  <c r="DM135" i="22"/>
  <c r="EH133" i="22"/>
  <c r="DQ133" i="22"/>
  <c r="DR197" i="22"/>
  <c r="CY90" i="22"/>
  <c r="DO93" i="22"/>
  <c r="DA56" i="22"/>
  <c r="DT56" i="22"/>
  <c r="DA68" i="22"/>
  <c r="DT68" i="22"/>
  <c r="DC201" i="22"/>
  <c r="DS28" i="22"/>
  <c r="DA21" i="22"/>
  <c r="DT21" i="22"/>
  <c r="EF93" i="22"/>
  <c r="DP90" i="22"/>
  <c r="DM93" i="22"/>
  <c r="EI100" i="22"/>
  <c r="EI97" i="22" s="1"/>
  <c r="DS97" i="22"/>
  <c r="DT191" i="22"/>
  <c r="DQ191" i="22" s="1"/>
  <c r="EJ33" i="22"/>
  <c r="DQ33" i="22"/>
  <c r="DC196" i="22"/>
  <c r="DC197" i="22"/>
  <c r="DS24" i="22"/>
  <c r="DQ54" i="22"/>
  <c r="EH54" i="22"/>
  <c r="EG54" i="22" s="1"/>
  <c r="DP199" i="22"/>
  <c r="EF26" i="22"/>
  <c r="DM26" i="22"/>
  <c r="CH40" i="22"/>
  <c r="BQ40" i="22"/>
  <c r="BR38" i="22"/>
  <c r="BQ38" i="22" s="1"/>
  <c r="CX99" i="22"/>
  <c r="CG99" i="22"/>
  <c r="DM144" i="22"/>
  <c r="ED144" i="22"/>
  <c r="EC144" i="22" s="1"/>
  <c r="EL144" i="22" s="1"/>
  <c r="CH158" i="22"/>
  <c r="BQ158" i="22"/>
  <c r="BR156" i="22"/>
  <c r="BQ156" i="22" s="1"/>
  <c r="DR161" i="22"/>
  <c r="DA161" i="22"/>
  <c r="EE67" i="22"/>
  <c r="EE64" i="22" s="1"/>
  <c r="DO64" i="22"/>
  <c r="EE60" i="22"/>
  <c r="EE57" i="22" s="1"/>
  <c r="DO57" i="22"/>
  <c r="DQ143" i="22"/>
  <c r="EH143" i="22"/>
  <c r="EG143" i="22" s="1"/>
  <c r="EH118" i="22"/>
  <c r="EG118" i="22" s="1"/>
  <c r="DQ118" i="22"/>
  <c r="EG73" i="22"/>
  <c r="DB168" i="22"/>
  <c r="CK168" i="22"/>
  <c r="DR195" i="22"/>
  <c r="DR142" i="22"/>
  <c r="DA142" i="22"/>
  <c r="DB140" i="22"/>
  <c r="DR174" i="22"/>
  <c r="DA174" i="22"/>
  <c r="DR66" i="22"/>
  <c r="DA66" i="22"/>
  <c r="DB64" i="22"/>
  <c r="DC170" i="22"/>
  <c r="DS173" i="22"/>
  <c r="BD202" i="22"/>
  <c r="DB104" i="22"/>
  <c r="DR106" i="22"/>
  <c r="DA106" i="22"/>
  <c r="CZ196" i="22"/>
  <c r="EJ41" i="22"/>
  <c r="EJ38" i="22" s="1"/>
  <c r="DT38" i="22"/>
  <c r="EI67" i="22"/>
  <c r="EI64" i="22" s="1"/>
  <c r="DS64" i="22"/>
  <c r="DD156" i="22"/>
  <c r="DT158" i="22"/>
  <c r="EJ117" i="22"/>
  <c r="EG117" i="22" s="1"/>
  <c r="DQ117" i="22"/>
  <c r="BT25" i="22"/>
  <c r="BD198" i="22"/>
  <c r="BA198" i="22" s="1"/>
  <c r="BD14" i="22"/>
  <c r="BA25" i="22"/>
  <c r="AN180" i="22"/>
  <c r="AN187" i="22" s="1"/>
  <c r="DQ16" i="22"/>
  <c r="EH16" i="22"/>
  <c r="EG16" i="22" s="1"/>
  <c r="DR59" i="22"/>
  <c r="DA59" i="22"/>
  <c r="DP13" i="22"/>
  <c r="CZ11" i="22"/>
  <c r="DA13" i="22"/>
  <c r="DR13" i="22"/>
  <c r="DN179" i="22"/>
  <c r="CW179" i="22"/>
  <c r="CX177" i="22"/>
  <c r="DA86" i="22"/>
  <c r="DR86" i="22"/>
  <c r="CH106" i="22"/>
  <c r="BQ106" i="22"/>
  <c r="DS153" i="22"/>
  <c r="DC151" i="22"/>
  <c r="BQ166" i="22"/>
  <c r="CH166" i="22"/>
  <c r="DR46" i="22"/>
  <c r="DA46" i="22"/>
  <c r="DB44" i="22"/>
  <c r="DA44" i="22" s="1"/>
  <c r="DR179" i="22"/>
  <c r="DB177" i="22"/>
  <c r="DB193" i="22"/>
  <c r="DT146" i="22"/>
  <c r="DA146" i="22"/>
  <c r="DA122" i="22"/>
  <c r="DR122" i="22"/>
  <c r="CY177" i="22"/>
  <c r="DO179" i="22"/>
  <c r="CY193" i="22"/>
  <c r="DN153" i="22"/>
  <c r="CW153" i="22"/>
  <c r="EC132" i="22"/>
  <c r="EL132" i="22" s="1"/>
  <c r="ED74" i="22"/>
  <c r="EC74" i="22" s="1"/>
  <c r="EL74" i="22" s="1"/>
  <c r="DM74" i="22"/>
  <c r="EH23" i="22"/>
  <c r="EG23" i="22" s="1"/>
  <c r="DQ23" i="22"/>
  <c r="EH61" i="22"/>
  <c r="EG61" i="22" s="1"/>
  <c r="DQ61" i="22"/>
  <c r="EF110" i="22"/>
  <c r="EC115" i="22"/>
  <c r="EL115" i="22" s="1"/>
  <c r="DC11" i="22"/>
  <c r="DS13" i="22"/>
  <c r="BQ154" i="22"/>
  <c r="CH154" i="22"/>
  <c r="BR151" i="22"/>
  <c r="BQ151" i="22" s="1"/>
  <c r="EJ199" i="22"/>
  <c r="EG26" i="22"/>
  <c r="DN46" i="22"/>
  <c r="CW46" i="22"/>
  <c r="CX44" i="22"/>
  <c r="CW44" i="22" s="1"/>
  <c r="EH165" i="22"/>
  <c r="BT202" i="22"/>
  <c r="CJ33" i="22"/>
  <c r="BT191" i="22"/>
  <c r="BQ191" i="22" s="1"/>
  <c r="BQ33" i="22"/>
  <c r="ED25" i="22"/>
  <c r="DN147" i="22"/>
  <c r="CW147" i="22"/>
  <c r="EE80" i="22"/>
  <c r="EE77" i="22" s="1"/>
  <c r="DO77" i="22"/>
  <c r="DQ160" i="22"/>
  <c r="EH160" i="22"/>
  <c r="EG160" i="22" s="1"/>
  <c r="AK203" i="22"/>
  <c r="DN113" i="22"/>
  <c r="CW113" i="22"/>
  <c r="DA114" i="22"/>
  <c r="DT114" i="22"/>
  <c r="DT110" i="22" s="1"/>
  <c r="BR196" i="22"/>
  <c r="BQ196" i="22" s="1"/>
  <c r="ED20" i="22"/>
  <c r="DM20" i="22"/>
  <c r="CN202" i="22"/>
  <c r="CL194" i="22"/>
  <c r="CK64" i="22"/>
  <c r="DC189" i="22"/>
  <c r="CY201" i="22"/>
  <c r="DO28" i="22"/>
  <c r="CW57" i="22"/>
  <c r="CY199" i="22"/>
  <c r="DO26" i="22"/>
  <c r="CZ84" i="22"/>
  <c r="DP87" i="22"/>
  <c r="EH88" i="22"/>
  <c r="EG88" i="22" s="1"/>
  <c r="DQ88" i="22"/>
  <c r="CY84" i="22"/>
  <c r="DO87" i="22"/>
  <c r="CW23" i="22"/>
  <c r="DN23" i="22"/>
  <c r="CK167" i="22"/>
  <c r="DB167" i="22"/>
  <c r="CL199" i="22"/>
  <c r="CK199" i="22" s="1"/>
  <c r="DN186" i="22"/>
  <c r="CW186" i="22"/>
  <c r="DO165" i="22"/>
  <c r="CY162" i="22"/>
  <c r="EI165" i="22"/>
  <c r="EI162" i="22" s="1"/>
  <c r="DS162" i="22"/>
  <c r="DR112" i="22"/>
  <c r="DB110" i="22"/>
  <c r="DA110" i="22" s="1"/>
  <c r="DA112" i="22"/>
  <c r="DR40" i="22"/>
  <c r="DA40" i="22"/>
  <c r="DB79" i="22"/>
  <c r="CK79" i="22"/>
  <c r="CL77" i="22"/>
  <c r="DN66" i="22"/>
  <c r="CW66" i="22"/>
  <c r="EH25" i="22"/>
  <c r="EG25" i="22" s="1"/>
  <c r="DQ25" i="22"/>
  <c r="EF51" i="22"/>
  <c r="EC56" i="22"/>
  <c r="EL56" i="22" s="1"/>
  <c r="EH31" i="22"/>
  <c r="EG31" i="22" s="1"/>
  <c r="DQ31" i="22"/>
  <c r="DS107" i="22"/>
  <c r="DS190" i="22" s="1"/>
  <c r="DC104" i="22"/>
  <c r="EH62" i="22"/>
  <c r="DQ62" i="22"/>
  <c r="EG20" i="22"/>
  <c r="ED82" i="22"/>
  <c r="EC82" i="22" s="1"/>
  <c r="EL82" i="22" s="1"/>
  <c r="DM82" i="22"/>
  <c r="DM123" i="22"/>
  <c r="EF123" i="22"/>
  <c r="DP120" i="22"/>
  <c r="CK154" i="22"/>
  <c r="DB154" i="22"/>
  <c r="DB151" i="22" s="1"/>
  <c r="DA151" i="22" s="1"/>
  <c r="EE144" i="22"/>
  <c r="EE140" i="22" s="1"/>
  <c r="DO140" i="22"/>
  <c r="CG167" i="22"/>
  <c r="CX167" i="22"/>
  <c r="CH199" i="22"/>
  <c r="CG199" i="22" s="1"/>
  <c r="EF140" i="22"/>
  <c r="ED21" i="22"/>
  <c r="EC21" i="22" s="1"/>
  <c r="EL21" i="22" s="1"/>
  <c r="DM21" i="22"/>
  <c r="DR149" i="22"/>
  <c r="DA149" i="22"/>
  <c r="DO107" i="22"/>
  <c r="CY104" i="22"/>
  <c r="CY190" i="22"/>
  <c r="DQ41" i="22"/>
  <c r="EG67" i="22"/>
  <c r="AK189" i="22"/>
  <c r="EI144" i="22"/>
  <c r="EI195" i="22" s="1"/>
  <c r="DS140" i="22"/>
  <c r="CW13" i="22"/>
  <c r="DN13" i="22"/>
  <c r="CX11" i="22"/>
  <c r="CH168" i="22"/>
  <c r="BQ168" i="22"/>
  <c r="DD162" i="22"/>
  <c r="DT165" i="22"/>
  <c r="DR173" i="22"/>
  <c r="DB170" i="22"/>
  <c r="DA170" i="22" s="1"/>
  <c r="DA173" i="22"/>
  <c r="DB159" i="22"/>
  <c r="DB156" i="22" s="1"/>
  <c r="CK159" i="22"/>
  <c r="CY11" i="22"/>
  <c r="DO13" i="22"/>
  <c r="CI151" i="22"/>
  <c r="CY153" i="22"/>
  <c r="CH112" i="22"/>
  <c r="CH110" i="22" s="1"/>
  <c r="BQ112" i="22"/>
  <c r="DP179" i="22"/>
  <c r="CZ177" i="22"/>
  <c r="DT197" i="22"/>
  <c r="EJ24" i="22"/>
  <c r="DQ24" i="22"/>
  <c r="DM63" i="22"/>
  <c r="ED63" i="22"/>
  <c r="EC63" i="22" s="1"/>
  <c r="EL63" i="22" s="1"/>
  <c r="DM18" i="22"/>
  <c r="ED18" i="22"/>
  <c r="EC18" i="22" s="1"/>
  <c r="EL18" i="22" s="1"/>
  <c r="ED16" i="22"/>
  <c r="EC16" i="22" s="1"/>
  <c r="EL16" i="22" s="1"/>
  <c r="DM16" i="22"/>
  <c r="EE41" i="22"/>
  <c r="EE38" i="22" s="1"/>
  <c r="DO38" i="22"/>
  <c r="EG136" i="22"/>
  <c r="CL151" i="22"/>
  <c r="CK151" i="22" s="1"/>
  <c r="DR99" i="22"/>
  <c r="DA99" i="22"/>
  <c r="DR158" i="22"/>
  <c r="DA158" i="22"/>
  <c r="CX86" i="22"/>
  <c r="CG86" i="22"/>
  <c r="BB14" i="22"/>
  <c r="BB180" i="22" s="1"/>
  <c r="BB189" i="22"/>
  <c r="BR31" i="22"/>
  <c r="BB202" i="22"/>
  <c r="BB203" i="22" s="1"/>
  <c r="BA31" i="22"/>
  <c r="EG28" i="22"/>
  <c r="DR72" i="22"/>
  <c r="DA72" i="22"/>
  <c r="DB70" i="22"/>
  <c r="CY158" i="22"/>
  <c r="CI156" i="22"/>
  <c r="DD196" i="22"/>
  <c r="CY191" i="22"/>
  <c r="CY202" i="22"/>
  <c r="CJ97" i="22"/>
  <c r="CG97" i="22" s="1"/>
  <c r="CZ100" i="22"/>
  <c r="CK35" i="22"/>
  <c r="DD35" i="22"/>
  <c r="DD57" i="22"/>
  <c r="DA60" i="22"/>
  <c r="CG76" i="22"/>
  <c r="CX76" i="22"/>
  <c r="CK102" i="22"/>
  <c r="DB102" i="22"/>
  <c r="DR102" i="22" s="1"/>
  <c r="CG36" i="22"/>
  <c r="CX36" i="22"/>
  <c r="CW94" i="22"/>
  <c r="CW87" i="22"/>
  <c r="CW81" i="22"/>
  <c r="DD64" i="22"/>
  <c r="DA64" i="22" s="1"/>
  <c r="DD14" i="22"/>
  <c r="CG89" i="22"/>
  <c r="CX89" i="22"/>
  <c r="CG35" i="22"/>
  <c r="CX35" i="22"/>
  <c r="CZ90" i="22"/>
  <c r="CW93" i="22"/>
  <c r="DC14" i="22"/>
  <c r="BU202" i="22"/>
  <c r="CW74" i="22"/>
  <c r="CK82" i="22"/>
  <c r="DB82" i="22"/>
  <c r="CJ190" i="22"/>
  <c r="CK95" i="22"/>
  <c r="DD95" i="22"/>
  <c r="DT95" i="22" s="1"/>
  <c r="DD77" i="22"/>
  <c r="DA80" i="22"/>
  <c r="CG75" i="22"/>
  <c r="CX75" i="22"/>
  <c r="CL202" i="22"/>
  <c r="DA23" i="22"/>
  <c r="DB14" i="22"/>
  <c r="DA61" i="22"/>
  <c r="DC97" i="22"/>
  <c r="DC194" i="22"/>
  <c r="DC190" i="22"/>
  <c r="CW51" i="22"/>
  <c r="DA54" i="22"/>
  <c r="DB51" i="22"/>
  <c r="CZ199" i="22"/>
  <c r="CW26" i="22"/>
  <c r="DD84" i="22"/>
  <c r="DA87" i="22"/>
  <c r="CN97" i="22"/>
  <c r="CK97" i="22" s="1"/>
  <c r="DD100" i="22"/>
  <c r="DT100" i="22" s="1"/>
  <c r="CG88" i="22"/>
  <c r="CX88" i="22"/>
  <c r="DN88" i="22" s="1"/>
  <c r="DA55" i="22"/>
  <c r="DD51" i="22"/>
  <c r="CG101" i="22"/>
  <c r="CX101" i="22"/>
  <c r="DN101" i="22" s="1"/>
  <c r="CK34" i="22"/>
  <c r="DD34" i="22"/>
  <c r="CW20" i="22"/>
  <c r="CX193" i="22"/>
  <c r="CW193" i="22" s="1"/>
  <c r="CG102" i="22"/>
  <c r="CX102" i="22"/>
  <c r="CK75" i="22"/>
  <c r="DD75" i="22"/>
  <c r="DT75" i="22" s="1"/>
  <c r="CK63" i="22"/>
  <c r="DB63" i="22"/>
  <c r="DB57" i="22" s="1"/>
  <c r="CK101" i="22"/>
  <c r="DB101" i="22"/>
  <c r="DR101" i="22" s="1"/>
  <c r="CG34" i="22"/>
  <c r="CX34" i="22"/>
  <c r="DD191" i="22"/>
  <c r="DA191" i="22" s="1"/>
  <c r="DA33" i="22"/>
  <c r="CW24" i="22"/>
  <c r="CX197" i="22"/>
  <c r="CW197" i="22" s="1"/>
  <c r="DA88" i="22"/>
  <c r="DB84" i="22"/>
  <c r="CK51" i="22"/>
  <c r="DD200" i="22"/>
  <c r="DD130" i="22"/>
  <c r="DT130" i="22" s="1"/>
  <c r="CN189" i="22"/>
  <c r="CX201" i="22"/>
  <c r="DA134" i="22"/>
  <c r="DB198" i="22"/>
  <c r="DA198" i="22" s="1"/>
  <c r="DA129" i="22"/>
  <c r="CW135" i="22"/>
  <c r="CW131" i="22"/>
  <c r="DA133" i="22"/>
  <c r="DB197" i="22"/>
  <c r="DA197" i="22" s="1"/>
  <c r="CK135" i="22"/>
  <c r="DB135" i="22"/>
  <c r="DR135" i="22" s="1"/>
  <c r="DB201" i="22"/>
  <c r="DA201" i="22" s="1"/>
  <c r="BU189" i="22"/>
  <c r="CL126" i="22"/>
  <c r="DB132" i="22"/>
  <c r="CL200" i="22"/>
  <c r="CK200" i="22" s="1"/>
  <c r="CX126" i="22"/>
  <c r="CW129" i="22"/>
  <c r="CZ195" i="22"/>
  <c r="CZ126" i="22"/>
  <c r="CN57" i="22"/>
  <c r="CK60" i="22"/>
  <c r="CK140" i="22"/>
  <c r="BU190" i="22"/>
  <c r="BQ200" i="22"/>
  <c r="BU194" i="22"/>
  <c r="CG74" i="22"/>
  <c r="CH70" i="22"/>
  <c r="CG70" i="22" s="1"/>
  <c r="CH84" i="22"/>
  <c r="CG84" i="22" s="1"/>
  <c r="CK100" i="22"/>
  <c r="CJ194" i="22"/>
  <c r="CG100" i="22"/>
  <c r="CH200" i="22"/>
  <c r="CG200" i="22" s="1"/>
  <c r="CK23" i="22"/>
  <c r="CL14" i="22"/>
  <c r="CK14" i="22" s="1"/>
  <c r="CK134" i="22"/>
  <c r="CL198" i="22"/>
  <c r="CK198" i="22" s="1"/>
  <c r="CM203" i="22"/>
  <c r="CK132" i="22"/>
  <c r="CL196" i="22"/>
  <c r="CK196" i="22" s="1"/>
  <c r="CN77" i="22"/>
  <c r="CK80" i="22"/>
  <c r="CG126" i="22"/>
  <c r="CK61" i="22"/>
  <c r="CL57" i="22"/>
  <c r="CK57" i="22" s="1"/>
  <c r="CN90" i="22"/>
  <c r="CN84" i="22"/>
  <c r="CK84" i="22" s="1"/>
  <c r="CK87" i="22"/>
  <c r="CN104" i="22"/>
  <c r="CK104" i="22" s="1"/>
  <c r="CN194" i="22"/>
  <c r="CN190" i="22"/>
  <c r="CG143" i="22"/>
  <c r="CH140" i="22"/>
  <c r="CG140" i="22" s="1"/>
  <c r="CG20" i="22"/>
  <c r="CH193" i="22"/>
  <c r="CG193" i="22" s="1"/>
  <c r="CN126" i="22"/>
  <c r="CN195" i="22"/>
  <c r="CK195" i="22" s="1"/>
  <c r="CL189" i="22"/>
  <c r="CG113" i="22"/>
  <c r="BR190" i="22"/>
  <c r="BQ190" i="22" s="1"/>
  <c r="CK114" i="22"/>
  <c r="CN110" i="22"/>
  <c r="BA194" i="22"/>
  <c r="BQ113" i="22"/>
  <c r="BR110" i="22"/>
  <c r="BQ110" i="22" s="1"/>
  <c r="BR194" i="22"/>
  <c r="BQ194" i="22" s="1"/>
  <c r="BV180" i="22"/>
  <c r="BV187" i="22" s="1"/>
  <c r="BE203" i="22"/>
  <c r="BU198" i="22"/>
  <c r="BU196" i="22"/>
  <c r="BV203" i="22"/>
  <c r="BU14" i="22"/>
  <c r="BX180" i="22"/>
  <c r="BU193" i="22"/>
  <c r="BX203" i="22"/>
  <c r="BH187" i="22"/>
  <c r="BE180" i="22"/>
  <c r="BE187" i="22" s="1"/>
  <c r="EJ201" i="22" l="1"/>
  <c r="DB194" i="22"/>
  <c r="DM126" i="22"/>
  <c r="CH190" i="22"/>
  <c r="CG190" i="22" s="1"/>
  <c r="DA120" i="22"/>
  <c r="CK90" i="22"/>
  <c r="CK194" i="22"/>
  <c r="DA51" i="22"/>
  <c r="CK77" i="22"/>
  <c r="DA156" i="22"/>
  <c r="BA189" i="22"/>
  <c r="DM195" i="22"/>
  <c r="DC203" i="22"/>
  <c r="CK190" i="22"/>
  <c r="DQ197" i="22"/>
  <c r="CH194" i="22"/>
  <c r="CG194" i="22" s="1"/>
  <c r="BA14" i="22"/>
  <c r="EH195" i="22"/>
  <c r="DT202" i="22"/>
  <c r="CH162" i="22"/>
  <c r="DA140" i="22"/>
  <c r="AK180" i="22"/>
  <c r="AK187" i="22" s="1"/>
  <c r="BB187" i="22"/>
  <c r="EJ95" i="22"/>
  <c r="DQ95" i="22"/>
  <c r="DT90" i="22"/>
  <c r="EH99" i="22"/>
  <c r="DQ99" i="22"/>
  <c r="DR97" i="22"/>
  <c r="DO153" i="22"/>
  <c r="CY151" i="22"/>
  <c r="DQ149" i="22"/>
  <c r="EH149" i="22"/>
  <c r="EG149" i="22" s="1"/>
  <c r="EF90" i="22"/>
  <c r="EC93" i="22"/>
  <c r="EL93" i="22" s="1"/>
  <c r="DN165" i="22"/>
  <c r="CW165" i="22"/>
  <c r="EH169" i="22"/>
  <c r="EG169" i="22" s="1"/>
  <c r="DQ169" i="22"/>
  <c r="EG55" i="22"/>
  <c r="EJ51" i="22"/>
  <c r="DT107" i="22"/>
  <c r="DD104" i="22"/>
  <c r="DA104" i="22" s="1"/>
  <c r="DA107" i="22"/>
  <c r="EJ130" i="22"/>
  <c r="DT126" i="22"/>
  <c r="DT195" i="22"/>
  <c r="DQ195" i="22" s="1"/>
  <c r="DQ130" i="22"/>
  <c r="DM101" i="22"/>
  <c r="ED101" i="22"/>
  <c r="EC101" i="22" s="1"/>
  <c r="EL101" i="22" s="1"/>
  <c r="DT97" i="22"/>
  <c r="EJ100" i="22"/>
  <c r="DQ100" i="22"/>
  <c r="DC180" i="22"/>
  <c r="DC187" i="22" s="1"/>
  <c r="EJ197" i="22"/>
  <c r="EG24" i="22"/>
  <c r="DP177" i="22"/>
  <c r="EF179" i="22"/>
  <c r="DP193" i="22"/>
  <c r="DR159" i="22"/>
  <c r="DR156" i="22" s="1"/>
  <c r="DA159" i="22"/>
  <c r="EH173" i="22"/>
  <c r="DR170" i="22"/>
  <c r="DQ173" i="22"/>
  <c r="CX168" i="22"/>
  <c r="CG168" i="22"/>
  <c r="DR79" i="22"/>
  <c r="DA79" i="22"/>
  <c r="DB77" i="22"/>
  <c r="EE28" i="22"/>
  <c r="EE201" i="22" s="1"/>
  <c r="DO201" i="22"/>
  <c r="EJ114" i="22"/>
  <c r="EG114" i="22" s="1"/>
  <c r="DQ114" i="22"/>
  <c r="CG33" i="22"/>
  <c r="CZ33" i="22"/>
  <c r="CJ191" i="22"/>
  <c r="CG191" i="22" s="1"/>
  <c r="CG154" i="22"/>
  <c r="CX154" i="22"/>
  <c r="CH151" i="22"/>
  <c r="CG151" i="22" s="1"/>
  <c r="EH86" i="22"/>
  <c r="DR84" i="22"/>
  <c r="DQ84" i="22" s="1"/>
  <c r="DQ86" i="22"/>
  <c r="ED179" i="22"/>
  <c r="DN177" i="22"/>
  <c r="DN193" i="22"/>
  <c r="DM179" i="22"/>
  <c r="DP11" i="22"/>
  <c r="EF13" i="22"/>
  <c r="EF11" i="22" s="1"/>
  <c r="BD203" i="22"/>
  <c r="EJ158" i="22"/>
  <c r="DT156" i="22"/>
  <c r="DT196" i="22"/>
  <c r="EI173" i="22"/>
  <c r="DS170" i="22"/>
  <c r="DS198" i="22"/>
  <c r="EH66" i="22"/>
  <c r="DR64" i="22"/>
  <c r="DQ66" i="22"/>
  <c r="EF199" i="22"/>
  <c r="EC26" i="22"/>
  <c r="EL26" i="22" s="1"/>
  <c r="DS197" i="22"/>
  <c r="EI24" i="22"/>
  <c r="DS14" i="22"/>
  <c r="DQ21" i="22"/>
  <c r="EJ21" i="22"/>
  <c r="DT14" i="22"/>
  <c r="DQ14" i="22" s="1"/>
  <c r="EJ68" i="22"/>
  <c r="DQ68" i="22"/>
  <c r="DT64" i="22"/>
  <c r="EE93" i="22"/>
  <c r="EE90" i="22" s="1"/>
  <c r="DO90" i="22"/>
  <c r="EG133" i="22"/>
  <c r="EH197" i="22"/>
  <c r="DN149" i="22"/>
  <c r="CW149" i="22"/>
  <c r="EJ84" i="22"/>
  <c r="EG87" i="22"/>
  <c r="DR166" i="22"/>
  <c r="DA166" i="22"/>
  <c r="DB162" i="22"/>
  <c r="DA162" i="22" s="1"/>
  <c r="DP197" i="22"/>
  <c r="DM197" i="22" s="1"/>
  <c r="EF24" i="22"/>
  <c r="EC24" i="22" s="1"/>
  <c r="EL24" i="22" s="1"/>
  <c r="DQ89" i="22"/>
  <c r="EH89" i="22"/>
  <c r="EG89" i="22" s="1"/>
  <c r="DA108" i="22"/>
  <c r="DR108" i="22"/>
  <c r="DR104" i="22" s="1"/>
  <c r="CI120" i="22"/>
  <c r="CI180" i="22" s="1"/>
  <c r="CI187" i="22" s="1"/>
  <c r="CY123" i="22"/>
  <c r="CY189" i="22" s="1"/>
  <c r="CI194" i="22"/>
  <c r="CI203" i="22" s="1"/>
  <c r="CI189" i="22"/>
  <c r="DQ53" i="22"/>
  <c r="EH53" i="22"/>
  <c r="DR51" i="22"/>
  <c r="DQ51" i="22" s="1"/>
  <c r="DN160" i="22"/>
  <c r="CW160" i="22"/>
  <c r="CY170" i="22"/>
  <c r="DO173" i="22"/>
  <c r="CY198" i="22"/>
  <c r="BQ28" i="22"/>
  <c r="BT201" i="22"/>
  <c r="BQ201" i="22" s="1"/>
  <c r="CJ28" i="22"/>
  <c r="BT189" i="22"/>
  <c r="ED146" i="22"/>
  <c r="EC146" i="22" s="1"/>
  <c r="EL146" i="22" s="1"/>
  <c r="DM146" i="22"/>
  <c r="DT11" i="22"/>
  <c r="DQ11" i="22" s="1"/>
  <c r="EJ13" i="22"/>
  <c r="EJ11" i="22" s="1"/>
  <c r="EG11" i="22" s="1"/>
  <c r="DM124" i="22"/>
  <c r="ED124" i="22"/>
  <c r="EC124" i="22" s="1"/>
  <c r="EL124" i="22" s="1"/>
  <c r="EG113" i="22"/>
  <c r="DT200" i="22"/>
  <c r="DO197" i="22"/>
  <c r="EE24" i="22"/>
  <c r="DO14" i="22"/>
  <c r="EF126" i="22"/>
  <c r="EF195" i="22"/>
  <c r="EC131" i="22"/>
  <c r="EL131" i="22" s="1"/>
  <c r="DN148" i="22"/>
  <c r="CW148" i="22"/>
  <c r="DP170" i="22"/>
  <c r="EF173" i="22"/>
  <c r="DN183" i="22"/>
  <c r="CW183" i="22"/>
  <c r="DN161" i="22"/>
  <c r="CW161" i="22"/>
  <c r="EF165" i="22"/>
  <c r="DB126" i="22"/>
  <c r="DR132" i="22"/>
  <c r="EH135" i="22"/>
  <c r="EG135" i="22" s="1"/>
  <c r="DQ135" i="22"/>
  <c r="DQ101" i="22"/>
  <c r="EH101" i="22"/>
  <c r="EG101" i="22" s="1"/>
  <c r="CW75" i="22"/>
  <c r="DN75" i="22"/>
  <c r="CW89" i="22"/>
  <c r="DN89" i="22"/>
  <c r="EH102" i="22"/>
  <c r="EG102" i="22" s="1"/>
  <c r="DQ102" i="22"/>
  <c r="DP100" i="22"/>
  <c r="CZ97" i="22"/>
  <c r="CZ190" i="22"/>
  <c r="ED46" i="22"/>
  <c r="DN44" i="22"/>
  <c r="DM44" i="22" s="1"/>
  <c r="DM46" i="22"/>
  <c r="CX106" i="22"/>
  <c r="CG106" i="22"/>
  <c r="EJ77" i="22"/>
  <c r="EG80" i="22"/>
  <c r="DO191" i="22"/>
  <c r="EE33" i="22"/>
  <c r="DO202" i="22"/>
  <c r="EE100" i="22"/>
  <c r="EE97" i="22" s="1"/>
  <c r="DO97" i="22"/>
  <c r="DP151" i="22"/>
  <c r="EF153" i="22"/>
  <c r="EF151" i="22" s="1"/>
  <c r="ED122" i="22"/>
  <c r="DM122" i="22"/>
  <c r="DN120" i="22"/>
  <c r="DM120" i="22" s="1"/>
  <c r="DS120" i="22"/>
  <c r="EI123" i="22"/>
  <c r="DS194" i="22"/>
  <c r="CX173" i="22"/>
  <c r="CH170" i="22"/>
  <c r="CG170" i="22" s="1"/>
  <c r="CG173" i="22"/>
  <c r="DT151" i="22"/>
  <c r="EJ153" i="22"/>
  <c r="EJ151" i="22" s="1"/>
  <c r="DN159" i="22"/>
  <c r="CW159" i="22"/>
  <c r="EH153" i="22"/>
  <c r="DQ153" i="22"/>
  <c r="EI158" i="22"/>
  <c r="DS156" i="22"/>
  <c r="DS196" i="22"/>
  <c r="DA183" i="22"/>
  <c r="DR183" i="22"/>
  <c r="CH104" i="22"/>
  <c r="CG104" i="22" s="1"/>
  <c r="DB190" i="22"/>
  <c r="DA84" i="22"/>
  <c r="DD202" i="22"/>
  <c r="CW34" i="22"/>
  <c r="DN34" i="22"/>
  <c r="DA63" i="22"/>
  <c r="DR63" i="22"/>
  <c r="DR57" i="22" s="1"/>
  <c r="DQ57" i="22" s="1"/>
  <c r="CW102" i="22"/>
  <c r="DN102" i="22"/>
  <c r="CW35" i="22"/>
  <c r="DN35" i="22"/>
  <c r="CW36" i="22"/>
  <c r="DN36" i="22"/>
  <c r="CW76" i="22"/>
  <c r="DN76" i="22"/>
  <c r="DA35" i="22"/>
  <c r="DT35" i="22"/>
  <c r="DR70" i="22"/>
  <c r="EH72" i="22"/>
  <c r="DQ72" i="22"/>
  <c r="BA202" i="22"/>
  <c r="BA203" i="22" s="1"/>
  <c r="EH158" i="22"/>
  <c r="DQ158" i="22"/>
  <c r="DO11" i="22"/>
  <c r="EE13" i="22"/>
  <c r="EE11" i="22" s="1"/>
  <c r="EJ165" i="22"/>
  <c r="EJ162" i="22" s="1"/>
  <c r="DT162" i="22"/>
  <c r="CW11" i="22"/>
  <c r="EE107" i="22"/>
  <c r="EE104" i="22" s="1"/>
  <c r="DO104" i="22"/>
  <c r="DO190" i="22"/>
  <c r="DN167" i="22"/>
  <c r="CW167" i="22"/>
  <c r="CX199" i="22"/>
  <c r="CW199" i="22" s="1"/>
  <c r="EI107" i="22"/>
  <c r="EI104" i="22" s="1"/>
  <c r="DS104" i="22"/>
  <c r="ED66" i="22"/>
  <c r="DM66" i="22"/>
  <c r="DN64" i="22"/>
  <c r="DM64" i="22" s="1"/>
  <c r="EH112" i="22"/>
  <c r="DR110" i="22"/>
  <c r="DQ112" i="22"/>
  <c r="EE165" i="22"/>
  <c r="EE162" i="22" s="1"/>
  <c r="DO162" i="22"/>
  <c r="DR167" i="22"/>
  <c r="DA167" i="22"/>
  <c r="DB199" i="22"/>
  <c r="DA199" i="22" s="1"/>
  <c r="DO199" i="22"/>
  <c r="EE26" i="22"/>
  <c r="EE199" i="22" s="1"/>
  <c r="DM153" i="22"/>
  <c r="ED153" i="22"/>
  <c r="DQ146" i="22"/>
  <c r="EJ146" i="22"/>
  <c r="DQ46" i="22"/>
  <c r="EH46" i="22"/>
  <c r="DR44" i="22"/>
  <c r="DQ44" i="22" s="1"/>
  <c r="EI153" i="22"/>
  <c r="EI151" i="22" s="1"/>
  <c r="DS151" i="22"/>
  <c r="EH13" i="22"/>
  <c r="DQ13" i="22"/>
  <c r="CJ25" i="22"/>
  <c r="BT198" i="22"/>
  <c r="BQ198" i="22" s="1"/>
  <c r="BQ25" i="22"/>
  <c r="BT14" i="22"/>
  <c r="EH106" i="22"/>
  <c r="DQ106" i="22"/>
  <c r="EH142" i="22"/>
  <c r="DQ142" i="22"/>
  <c r="DR140" i="22"/>
  <c r="DA168" i="22"/>
  <c r="DR168" i="22"/>
  <c r="CX40" i="22"/>
  <c r="CG40" i="22"/>
  <c r="CH38" i="22"/>
  <c r="CG38" i="22" s="1"/>
  <c r="EJ191" i="22"/>
  <c r="EG191" i="22" s="1"/>
  <c r="EG33" i="22"/>
  <c r="EH14" i="22"/>
  <c r="EI179" i="22"/>
  <c r="DS177" i="22"/>
  <c r="DS193" i="22"/>
  <c r="DS189" i="22"/>
  <c r="DS84" i="22"/>
  <c r="EI87" i="22"/>
  <c r="EI84" i="22" s="1"/>
  <c r="CX140" i="22"/>
  <c r="CW140" i="22" s="1"/>
  <c r="EJ148" i="22"/>
  <c r="EG148" i="22" s="1"/>
  <c r="DQ148" i="22"/>
  <c r="CX174" i="22"/>
  <c r="CG174" i="22"/>
  <c r="CH198" i="22"/>
  <c r="EH175" i="22"/>
  <c r="EG175" i="22" s="1"/>
  <c r="DQ175" i="22"/>
  <c r="CX79" i="22"/>
  <c r="CG79" i="22"/>
  <c r="CH77" i="22"/>
  <c r="CG77" i="22" s="1"/>
  <c r="EC107" i="22"/>
  <c r="EL107" i="22" s="1"/>
  <c r="ED53" i="22"/>
  <c r="DN51" i="22"/>
  <c r="DM51" i="22" s="1"/>
  <c r="DM53" i="22"/>
  <c r="DM72" i="22"/>
  <c r="ED72" i="22"/>
  <c r="ED59" i="22"/>
  <c r="DN57" i="22"/>
  <c r="DM57" i="22" s="1"/>
  <c r="DM59" i="22"/>
  <c r="DN176" i="22"/>
  <c r="CW176" i="22"/>
  <c r="ED137" i="22"/>
  <c r="ED126" i="22" s="1"/>
  <c r="DM137" i="22"/>
  <c r="DN201" i="22"/>
  <c r="EH137" i="22"/>
  <c r="DQ137" i="22"/>
  <c r="DR201" i="22"/>
  <c r="DQ201" i="22" s="1"/>
  <c r="ED175" i="22"/>
  <c r="EC175" i="22" s="1"/>
  <c r="EL175" i="22" s="1"/>
  <c r="DM175" i="22"/>
  <c r="EF158" i="22"/>
  <c r="DP156" i="22"/>
  <c r="DP196" i="22"/>
  <c r="BD180" i="22"/>
  <c r="BD187" i="22" s="1"/>
  <c r="BA162" i="22"/>
  <c r="EC129" i="22"/>
  <c r="EL129" i="22" s="1"/>
  <c r="EJ75" i="22"/>
  <c r="DQ75" i="22"/>
  <c r="DT70" i="22"/>
  <c r="ED186" i="22"/>
  <c r="EC186" i="22" s="1"/>
  <c r="EL186" i="22" s="1"/>
  <c r="DM186" i="22"/>
  <c r="ED23" i="22"/>
  <c r="EC23" i="22" s="1"/>
  <c r="EL23" i="22" s="1"/>
  <c r="DM23" i="22"/>
  <c r="DM113" i="22"/>
  <c r="ED113" i="22"/>
  <c r="EC113" i="22" s="1"/>
  <c r="EL113" i="22" s="1"/>
  <c r="DM147" i="22"/>
  <c r="ED147" i="22"/>
  <c r="EC147" i="22" s="1"/>
  <c r="EL147" i="22" s="1"/>
  <c r="EE179" i="22"/>
  <c r="DO193" i="22"/>
  <c r="DO177" i="22"/>
  <c r="EH161" i="22"/>
  <c r="DQ161" i="22"/>
  <c r="DA124" i="22"/>
  <c r="DR124" i="22"/>
  <c r="DR120" i="22" s="1"/>
  <c r="DT179" i="22"/>
  <c r="DQ179" i="22" s="1"/>
  <c r="DD177" i="22"/>
  <c r="DA177" i="22" s="1"/>
  <c r="DD193" i="22"/>
  <c r="DA193" i="22" s="1"/>
  <c r="DQ186" i="22"/>
  <c r="EH186" i="22"/>
  <c r="EG186" i="22" s="1"/>
  <c r="ED118" i="22"/>
  <c r="EC118" i="22" s="1"/>
  <c r="EL118" i="22" s="1"/>
  <c r="DM118" i="22"/>
  <c r="CX92" i="22"/>
  <c r="CG92" i="22"/>
  <c r="CH90" i="22"/>
  <c r="CG90" i="22" s="1"/>
  <c r="DA34" i="22"/>
  <c r="DT34" i="22"/>
  <c r="ED88" i="22"/>
  <c r="EC88" i="22" s="1"/>
  <c r="EL88" i="22" s="1"/>
  <c r="DM88" i="22"/>
  <c r="CK202" i="22"/>
  <c r="CK203" i="22" s="1"/>
  <c r="DA77" i="22"/>
  <c r="DA82" i="22"/>
  <c r="DR82" i="22"/>
  <c r="CY156" i="22"/>
  <c r="DO158" i="22"/>
  <c r="CY196" i="22"/>
  <c r="BR189" i="22"/>
  <c r="BR14" i="22"/>
  <c r="BR180" i="22" s="1"/>
  <c r="BR187" i="22" s="1"/>
  <c r="CH31" i="22"/>
  <c r="BR202" i="22"/>
  <c r="BQ202" i="22" s="1"/>
  <c r="BQ31" i="22"/>
  <c r="CW86" i="22"/>
  <c r="DN86" i="22"/>
  <c r="CG112" i="22"/>
  <c r="CX112" i="22"/>
  <c r="ED13" i="22"/>
  <c r="ED11" i="22" s="1"/>
  <c r="DN11" i="22"/>
  <c r="DM13" i="22"/>
  <c r="EI140" i="22"/>
  <c r="DR154" i="22"/>
  <c r="DA154" i="22"/>
  <c r="EF120" i="22"/>
  <c r="EC123" i="22"/>
  <c r="EL123" i="22" s="1"/>
  <c r="EG62" i="22"/>
  <c r="EH40" i="22"/>
  <c r="DR38" i="22"/>
  <c r="DQ38" i="22" s="1"/>
  <c r="DQ40" i="22"/>
  <c r="EE87" i="22"/>
  <c r="EE84" i="22" s="1"/>
  <c r="DO84" i="22"/>
  <c r="EF87" i="22"/>
  <c r="DP84" i="22"/>
  <c r="DM87" i="22"/>
  <c r="EC20" i="22"/>
  <c r="EL20" i="22" s="1"/>
  <c r="DQ165" i="22"/>
  <c r="EI13" i="22"/>
  <c r="EI11" i="22" s="1"/>
  <c r="DS11" i="22"/>
  <c r="EH122" i="22"/>
  <c r="DQ122" i="22"/>
  <c r="EH179" i="22"/>
  <c r="DR177" i="22"/>
  <c r="DR193" i="22"/>
  <c r="CG166" i="22"/>
  <c r="CX166" i="22"/>
  <c r="CW177" i="22"/>
  <c r="EH59" i="22"/>
  <c r="DQ59" i="22"/>
  <c r="EH174" i="22"/>
  <c r="DQ174" i="22"/>
  <c r="DR198" i="22"/>
  <c r="CG158" i="22"/>
  <c r="CX158" i="22"/>
  <c r="CH156" i="22"/>
  <c r="CG156" i="22" s="1"/>
  <c r="CH196" i="22"/>
  <c r="CG196" i="22" s="1"/>
  <c r="DN99" i="22"/>
  <c r="CX97" i="22"/>
  <c r="CW99" i="22"/>
  <c r="DS201" i="22"/>
  <c r="EI28" i="22"/>
  <c r="EI201" i="22" s="1"/>
  <c r="EJ56" i="22"/>
  <c r="EG56" i="22" s="1"/>
  <c r="DQ56" i="22"/>
  <c r="EG129" i="22"/>
  <c r="CW108" i="22"/>
  <c r="DN108" i="22"/>
  <c r="ED95" i="22"/>
  <c r="EC95" i="22" s="1"/>
  <c r="EL95" i="22" s="1"/>
  <c r="DM95" i="22"/>
  <c r="DS199" i="22"/>
  <c r="EI26" i="22"/>
  <c r="EI199" i="22" s="1"/>
  <c r="ED142" i="22"/>
  <c r="DM142" i="22"/>
  <c r="DT170" i="22"/>
  <c r="EJ173" i="22"/>
  <c r="DT198" i="22"/>
  <c r="DQ123" i="22"/>
  <c r="EJ123" i="22"/>
  <c r="DT120" i="22"/>
  <c r="DT194" i="22"/>
  <c r="EE195" i="22"/>
  <c r="DN184" i="22"/>
  <c r="CW184" i="22"/>
  <c r="DR92" i="22"/>
  <c r="DA92" i="22"/>
  <c r="DB90" i="22"/>
  <c r="DS90" i="22"/>
  <c r="EI93" i="22"/>
  <c r="EI90" i="22" s="1"/>
  <c r="DT147" i="22"/>
  <c r="DA147" i="22"/>
  <c r="EJ57" i="22"/>
  <c r="EG60" i="22"/>
  <c r="DM143" i="22"/>
  <c r="ED143" i="22"/>
  <c r="EC143" i="22" s="1"/>
  <c r="EL143" i="22" s="1"/>
  <c r="EC22" i="22"/>
  <c r="EL22" i="22" s="1"/>
  <c r="EC27" i="22"/>
  <c r="EL27" i="22" s="1"/>
  <c r="CJ169" i="22"/>
  <c r="BQ169" i="22"/>
  <c r="BT162" i="22"/>
  <c r="EG41" i="22"/>
  <c r="DA14" i="22"/>
  <c r="DA101" i="22"/>
  <c r="DB97" i="22"/>
  <c r="DA75" i="22"/>
  <c r="DD70" i="22"/>
  <c r="DA70" i="22" s="1"/>
  <c r="CW88" i="22"/>
  <c r="CX84" i="22"/>
  <c r="CW84" i="22" s="1"/>
  <c r="DA95" i="22"/>
  <c r="DD90" i="22"/>
  <c r="DA57" i="22"/>
  <c r="CW100" i="22"/>
  <c r="CZ194" i="22"/>
  <c r="CW101" i="22"/>
  <c r="CX70" i="22"/>
  <c r="CW70" i="22" s="1"/>
  <c r="DA102" i="22"/>
  <c r="DB202" i="22"/>
  <c r="DA100" i="22"/>
  <c r="DD97" i="22"/>
  <c r="DD194" i="22"/>
  <c r="DA194" i="22" s="1"/>
  <c r="DD190" i="22"/>
  <c r="CK126" i="22"/>
  <c r="CW126" i="22"/>
  <c r="DA132" i="22"/>
  <c r="DB196" i="22"/>
  <c r="DA196" i="22" s="1"/>
  <c r="DB189" i="22"/>
  <c r="CW195" i="22"/>
  <c r="CL203" i="22"/>
  <c r="DA135" i="22"/>
  <c r="DB200" i="22"/>
  <c r="DA200" i="22" s="1"/>
  <c r="DD195" i="22"/>
  <c r="DD126" i="22"/>
  <c r="DD189" i="22"/>
  <c r="DA130" i="22"/>
  <c r="CN203" i="22"/>
  <c r="CK189" i="22"/>
  <c r="CL180" i="22"/>
  <c r="CL187" i="22" s="1"/>
  <c r="CN180" i="22"/>
  <c r="CK110" i="22"/>
  <c r="CG110" i="22"/>
  <c r="BR203" i="22"/>
  <c r="BU203" i="22"/>
  <c r="BX187" i="22"/>
  <c r="BU180" i="22"/>
  <c r="BU187" i="22" s="1"/>
  <c r="DQ156" i="22" l="1"/>
  <c r="CX162" i="22"/>
  <c r="DN140" i="22"/>
  <c r="DM140" i="22" s="1"/>
  <c r="DN70" i="22"/>
  <c r="DM70" i="22" s="1"/>
  <c r="DA90" i="22"/>
  <c r="DR202" i="22"/>
  <c r="DQ202" i="22" s="1"/>
  <c r="EC126" i="22"/>
  <c r="EL126" i="22" s="1"/>
  <c r="EG13" i="22"/>
  <c r="CW97" i="22"/>
  <c r="EJ110" i="22"/>
  <c r="DA202" i="22"/>
  <c r="BQ203" i="22"/>
  <c r="BT203" i="22"/>
  <c r="ED195" i="22"/>
  <c r="EC195" i="22" s="1"/>
  <c r="EL195" i="22" s="1"/>
  <c r="DS180" i="22"/>
  <c r="DS187" i="22" s="1"/>
  <c r="EJ202" i="22"/>
  <c r="DB180" i="22"/>
  <c r="DB187" i="22" s="1"/>
  <c r="EG197" i="22"/>
  <c r="DR200" i="22"/>
  <c r="EH170" i="22"/>
  <c r="CG31" i="22"/>
  <c r="CX31" i="22"/>
  <c r="CH202" i="22"/>
  <c r="CH203" i="22" s="1"/>
  <c r="CH14" i="22"/>
  <c r="CH180" i="22" s="1"/>
  <c r="CH187" i="22" s="1"/>
  <c r="EE158" i="22"/>
  <c r="DO196" i="22"/>
  <c r="DO156" i="22"/>
  <c r="EJ34" i="22"/>
  <c r="EG34" i="22" s="1"/>
  <c r="DQ34" i="22"/>
  <c r="ED102" i="22"/>
  <c r="EC102" i="22" s="1"/>
  <c r="EL102" i="22" s="1"/>
  <c r="DM102" i="22"/>
  <c r="EF100" i="22"/>
  <c r="DP97" i="22"/>
  <c r="DP190" i="22"/>
  <c r="DM100" i="22"/>
  <c r="DP194" i="22"/>
  <c r="EF170" i="22"/>
  <c r="EH51" i="22"/>
  <c r="EG51" i="22" s="1"/>
  <c r="EG53" i="22"/>
  <c r="EJ156" i="22"/>
  <c r="EJ196" i="22"/>
  <c r="CW154" i="22"/>
  <c r="DN154" i="22"/>
  <c r="CX151" i="22"/>
  <c r="CW151" i="22" s="1"/>
  <c r="DM193" i="22"/>
  <c r="EJ200" i="22"/>
  <c r="EG99" i="22"/>
  <c r="EH97" i="22"/>
  <c r="CZ169" i="22"/>
  <c r="CG169" i="22"/>
  <c r="CJ162" i="22"/>
  <c r="EH92" i="22"/>
  <c r="DQ92" i="22"/>
  <c r="DR90" i="22"/>
  <c r="DQ90" i="22" s="1"/>
  <c r="DQ198" i="22"/>
  <c r="DN158" i="22"/>
  <c r="CW158" i="22"/>
  <c r="CX156" i="22"/>
  <c r="CW156" i="22" s="1"/>
  <c r="CX196" i="22"/>
  <c r="CW196" i="22" s="1"/>
  <c r="EH177" i="22"/>
  <c r="EH193" i="22"/>
  <c r="EG40" i="22"/>
  <c r="EH38" i="22"/>
  <c r="EG38" i="22" s="1"/>
  <c r="EC13" i="22"/>
  <c r="EL13" i="22" s="1"/>
  <c r="CW92" i="22"/>
  <c r="DN92" i="22"/>
  <c r="CX90" i="22"/>
  <c r="CW90" i="22" s="1"/>
  <c r="DR189" i="22"/>
  <c r="EC72" i="22"/>
  <c r="EL72" i="22" s="1"/>
  <c r="ED51" i="22"/>
  <c r="EC51" i="22" s="1"/>
  <c r="EL51" i="22" s="1"/>
  <c r="EC53" i="22"/>
  <c r="EL53" i="22" s="1"/>
  <c r="DN79" i="22"/>
  <c r="CW79" i="22"/>
  <c r="CX77" i="22"/>
  <c r="CW77" i="22" s="1"/>
  <c r="EI177" i="22"/>
  <c r="EI193" i="22"/>
  <c r="EI189" i="22"/>
  <c r="EG106" i="22"/>
  <c r="EG72" i="22"/>
  <c r="EH70" i="22"/>
  <c r="ED76" i="22"/>
  <c r="EC76" i="22" s="1"/>
  <c r="EL76" i="22" s="1"/>
  <c r="DM76" i="22"/>
  <c r="DM35" i="22"/>
  <c r="ED35" i="22"/>
  <c r="EC35" i="22" s="1"/>
  <c r="EL35" i="22" s="1"/>
  <c r="EG153" i="22"/>
  <c r="CX104" i="22"/>
  <c r="CW104" i="22" s="1"/>
  <c r="DN106" i="22"/>
  <c r="CW106" i="22"/>
  <c r="ED75" i="22"/>
  <c r="EC75" i="22" s="1"/>
  <c r="EL75" i="22" s="1"/>
  <c r="DM75" i="22"/>
  <c r="EE197" i="22"/>
  <c r="EE14" i="22"/>
  <c r="BQ189" i="22"/>
  <c r="EG21" i="22"/>
  <c r="EJ14" i="22"/>
  <c r="EG14" i="22" s="1"/>
  <c r="DQ64" i="22"/>
  <c r="EI170" i="22"/>
  <c r="EI198" i="22"/>
  <c r="DP33" i="22"/>
  <c r="CZ191" i="22"/>
  <c r="CW191" i="22" s="1"/>
  <c r="CW33" i="22"/>
  <c r="CW168" i="22"/>
  <c r="DN168" i="22"/>
  <c r="DN200" i="22" s="1"/>
  <c r="DM200" i="22" s="1"/>
  <c r="EF177" i="22"/>
  <c r="EF193" i="22"/>
  <c r="EE153" i="22"/>
  <c r="EE151" i="22" s="1"/>
  <c r="DO151" i="22"/>
  <c r="BA180" i="22"/>
  <c r="BA187" i="22" s="1"/>
  <c r="DN166" i="22"/>
  <c r="CW166" i="22"/>
  <c r="DN84" i="22"/>
  <c r="DM84" i="22" s="1"/>
  <c r="ED86" i="22"/>
  <c r="DM86" i="22"/>
  <c r="ED176" i="22"/>
  <c r="EC176" i="22" s="1"/>
  <c r="EL176" i="22" s="1"/>
  <c r="DM176" i="22"/>
  <c r="EG46" i="22"/>
  <c r="EH44" i="22"/>
  <c r="EG44" i="22" s="1"/>
  <c r="EG146" i="22"/>
  <c r="DO123" i="22"/>
  <c r="DO189" i="22" s="1"/>
  <c r="CY120" i="22"/>
  <c r="CY180" i="22" s="1"/>
  <c r="CY187" i="22" s="1"/>
  <c r="CY194" i="22"/>
  <c r="CY203" i="22" s="1"/>
  <c r="DM149" i="22"/>
  <c r="ED149" i="22"/>
  <c r="EC149" i="22" s="1"/>
  <c r="EL149" i="22" s="1"/>
  <c r="DD180" i="22"/>
  <c r="DD187" i="22" s="1"/>
  <c r="DA190" i="22"/>
  <c r="EG173" i="22"/>
  <c r="EJ170" i="22"/>
  <c r="EJ198" i="22"/>
  <c r="EC142" i="22"/>
  <c r="EL142" i="22" s="1"/>
  <c r="ED99" i="22"/>
  <c r="DM99" i="22"/>
  <c r="DN97" i="22"/>
  <c r="EG174" i="22"/>
  <c r="EG59" i="22"/>
  <c r="DQ120" i="22"/>
  <c r="EI190" i="22"/>
  <c r="DN112" i="22"/>
  <c r="CW112" i="22"/>
  <c r="CX110" i="22"/>
  <c r="CW110" i="22" s="1"/>
  <c r="CX194" i="22"/>
  <c r="CW194" i="22" s="1"/>
  <c r="EH82" i="22"/>
  <c r="EG82" i="22" s="1"/>
  <c r="DQ82" i="22"/>
  <c r="CH189" i="22"/>
  <c r="DQ124" i="22"/>
  <c r="EH124" i="22"/>
  <c r="DR194" i="22"/>
  <c r="DQ194" i="22" s="1"/>
  <c r="EG75" i="22"/>
  <c r="EJ70" i="22"/>
  <c r="EF156" i="22"/>
  <c r="EF196" i="22"/>
  <c r="EC137" i="22"/>
  <c r="EL137" i="22" s="1"/>
  <c r="ED201" i="22"/>
  <c r="DN174" i="22"/>
  <c r="CW174" i="22"/>
  <c r="CX198" i="22"/>
  <c r="CX190" i="22"/>
  <c r="CW190" i="22" s="1"/>
  <c r="EE190" i="22"/>
  <c r="DN40" i="22"/>
  <c r="CW40" i="22"/>
  <c r="CX38" i="22"/>
  <c r="CW38" i="22" s="1"/>
  <c r="CZ25" i="22"/>
  <c r="CG25" i="22"/>
  <c r="CJ198" i="22"/>
  <c r="CJ14" i="22"/>
  <c r="EH167" i="22"/>
  <c r="DQ167" i="22"/>
  <c r="DR199" i="22"/>
  <c r="DQ199" i="22" s="1"/>
  <c r="DQ110" i="22"/>
  <c r="ED64" i="22"/>
  <c r="EC64" i="22" s="1"/>
  <c r="EL64" i="22" s="1"/>
  <c r="EC66" i="22"/>
  <c r="EL66" i="22" s="1"/>
  <c r="EG158" i="22"/>
  <c r="DQ70" i="22"/>
  <c r="EH63" i="22"/>
  <c r="EG63" i="22" s="1"/>
  <c r="DQ63" i="22"/>
  <c r="EH183" i="22"/>
  <c r="EG183" i="22" s="1"/>
  <c r="DQ183" i="22"/>
  <c r="EI156" i="22"/>
  <c r="EI196" i="22"/>
  <c r="EI120" i="22"/>
  <c r="EI194" i="22"/>
  <c r="EC122" i="22"/>
  <c r="EL122" i="22" s="1"/>
  <c r="ED120" i="22"/>
  <c r="EC120" i="22" s="1"/>
  <c r="EL120" i="22" s="1"/>
  <c r="ED183" i="22"/>
  <c r="EC183" i="22" s="1"/>
  <c r="EL183" i="22" s="1"/>
  <c r="DM183" i="22"/>
  <c r="CG28" i="22"/>
  <c r="CJ189" i="22"/>
  <c r="CJ201" i="22"/>
  <c r="CG201" i="22" s="1"/>
  <c r="CZ28" i="22"/>
  <c r="DM160" i="22"/>
  <c r="ED160" i="22"/>
  <c r="EC160" i="22" s="1"/>
  <c r="EL160" i="22" s="1"/>
  <c r="EH108" i="22"/>
  <c r="DQ108" i="22"/>
  <c r="EG66" i="22"/>
  <c r="EH64" i="22"/>
  <c r="EC11" i="22"/>
  <c r="EL11" i="22" s="1"/>
  <c r="DM177" i="22"/>
  <c r="EH84" i="22"/>
  <c r="EG84" i="22" s="1"/>
  <c r="EG86" i="22"/>
  <c r="CJ202" i="22"/>
  <c r="EH159" i="22"/>
  <c r="EG159" i="22" s="1"/>
  <c r="DQ159" i="22"/>
  <c r="EJ126" i="22"/>
  <c r="EJ195" i="22"/>
  <c r="EG195" i="22" s="1"/>
  <c r="EG130" i="22"/>
  <c r="DQ97" i="22"/>
  <c r="EJ147" i="22"/>
  <c r="EG147" i="22" s="1"/>
  <c r="DQ147" i="22"/>
  <c r="EG122" i="22"/>
  <c r="EH120" i="22"/>
  <c r="EF84" i="22"/>
  <c r="EC87" i="22"/>
  <c r="EL87" i="22" s="1"/>
  <c r="DQ154" i="22"/>
  <c r="EH154" i="22"/>
  <c r="EG154" i="22" s="1"/>
  <c r="DT177" i="22"/>
  <c r="DQ177" i="22" s="1"/>
  <c r="EJ179" i="22"/>
  <c r="EG179" i="22" s="1"/>
  <c r="DT193" i="22"/>
  <c r="DT189" i="22"/>
  <c r="DM34" i="22"/>
  <c r="ED34" i="22"/>
  <c r="EC34" i="22" s="1"/>
  <c r="EL34" i="22" s="1"/>
  <c r="DN173" i="22"/>
  <c r="CX170" i="22"/>
  <c r="CW173" i="22"/>
  <c r="CX189" i="22"/>
  <c r="EE191" i="22"/>
  <c r="EE202" i="22"/>
  <c r="ED44" i="22"/>
  <c r="EC44" i="22" s="1"/>
  <c r="EL44" i="22" s="1"/>
  <c r="EC46" i="22"/>
  <c r="EL46" i="22" s="1"/>
  <c r="ED161" i="22"/>
  <c r="DM161" i="22"/>
  <c r="EH166" i="22"/>
  <c r="DQ166" i="22"/>
  <c r="DR162" i="22"/>
  <c r="DQ162" i="22" s="1"/>
  <c r="EI197" i="22"/>
  <c r="EI14" i="22"/>
  <c r="BQ162" i="22"/>
  <c r="BT180" i="22"/>
  <c r="BT187" i="22" s="1"/>
  <c r="ED184" i="22"/>
  <c r="EC184" i="22" s="1"/>
  <c r="EL184" i="22" s="1"/>
  <c r="DM184" i="22"/>
  <c r="EJ120" i="22"/>
  <c r="EG123" i="22"/>
  <c r="ED108" i="22"/>
  <c r="DM108" i="22"/>
  <c r="DR190" i="22"/>
  <c r="EG161" i="22"/>
  <c r="EH202" i="22"/>
  <c r="EE177" i="22"/>
  <c r="EE193" i="22"/>
  <c r="EG137" i="22"/>
  <c r="EH201" i="22"/>
  <c r="EG201" i="22" s="1"/>
  <c r="EC59" i="22"/>
  <c r="EL59" i="22" s="1"/>
  <c r="ED57" i="22"/>
  <c r="EC57" i="22" s="1"/>
  <c r="EL57" i="22" s="1"/>
  <c r="ED197" i="22"/>
  <c r="DS203" i="22"/>
  <c r="EH168" i="22"/>
  <c r="EG168" i="22" s="1"/>
  <c r="DQ168" i="22"/>
  <c r="EG142" i="22"/>
  <c r="EH140" i="22"/>
  <c r="BQ14" i="22"/>
  <c r="DT140" i="22"/>
  <c r="DQ140" i="22" s="1"/>
  <c r="EC153" i="22"/>
  <c r="EL153" i="22" s="1"/>
  <c r="EG112" i="22"/>
  <c r="EH110" i="22"/>
  <c r="ED167" i="22"/>
  <c r="DM167" i="22"/>
  <c r="DN199" i="22"/>
  <c r="DM199" i="22" s="1"/>
  <c r="EJ35" i="22"/>
  <c r="EG35" i="22" s="1"/>
  <c r="DQ35" i="22"/>
  <c r="ED36" i="22"/>
  <c r="EC36" i="22" s="1"/>
  <c r="EL36" i="22" s="1"/>
  <c r="DM36" i="22"/>
  <c r="DR151" i="22"/>
  <c r="DQ151" i="22" s="1"/>
  <c r="ED159" i="22"/>
  <c r="EC159" i="22" s="1"/>
  <c r="EL159" i="22" s="1"/>
  <c r="DM159" i="22"/>
  <c r="DM89" i="22"/>
  <c r="ED89" i="22"/>
  <c r="EC89" i="22" s="1"/>
  <c r="EL89" i="22" s="1"/>
  <c r="DQ132" i="22"/>
  <c r="EH132" i="22"/>
  <c r="DR196" i="22"/>
  <c r="DQ196" i="22" s="1"/>
  <c r="DR126" i="22"/>
  <c r="DQ126" i="22" s="1"/>
  <c r="ED148" i="22"/>
  <c r="EC148" i="22" s="1"/>
  <c r="EL148" i="22" s="1"/>
  <c r="DM148" i="22"/>
  <c r="DQ200" i="22"/>
  <c r="EE173" i="22"/>
  <c r="DO170" i="22"/>
  <c r="DO198" i="22"/>
  <c r="EF197" i="22"/>
  <c r="EG68" i="22"/>
  <c r="EJ64" i="22"/>
  <c r="DM11" i="22"/>
  <c r="EC179" i="22"/>
  <c r="EL179" i="22" s="1"/>
  <c r="ED177" i="22"/>
  <c r="ED193" i="22"/>
  <c r="EG165" i="22"/>
  <c r="EH79" i="22"/>
  <c r="DR77" i="22"/>
  <c r="DQ77" i="22" s="1"/>
  <c r="DQ79" i="22"/>
  <c r="DQ170" i="22"/>
  <c r="EJ97" i="22"/>
  <c r="EG100" i="22"/>
  <c r="CX200" i="22"/>
  <c r="CW200" i="22" s="1"/>
  <c r="DQ107" i="22"/>
  <c r="EJ107" i="22"/>
  <c r="EJ194" i="22" s="1"/>
  <c r="DT104" i="22"/>
  <c r="DQ104" i="22" s="1"/>
  <c r="DT190" i="22"/>
  <c r="DQ190" i="22" s="1"/>
  <c r="ED165" i="22"/>
  <c r="DM165" i="22"/>
  <c r="EG95" i="22"/>
  <c r="EJ90" i="22"/>
  <c r="DA189" i="22"/>
  <c r="DA97" i="22"/>
  <c r="DD203" i="22"/>
  <c r="DA195" i="22"/>
  <c r="DA203" i="22" s="1"/>
  <c r="DA126" i="22"/>
  <c r="DB203" i="22"/>
  <c r="CN187" i="22"/>
  <c r="CK180" i="22"/>
  <c r="CK187" i="22" s="1"/>
  <c r="EG202" i="22" l="1"/>
  <c r="EG97" i="22"/>
  <c r="DN162" i="22"/>
  <c r="EG170" i="22"/>
  <c r="DM97" i="22"/>
  <c r="EG110" i="22"/>
  <c r="EH190" i="22"/>
  <c r="DQ189" i="22"/>
  <c r="DA180" i="22"/>
  <c r="DA187" i="22" s="1"/>
  <c r="BQ180" i="22"/>
  <c r="BQ187" i="22" s="1"/>
  <c r="CJ203" i="22"/>
  <c r="ED70" i="22"/>
  <c r="EC70" i="22" s="1"/>
  <c r="EL70" i="22" s="1"/>
  <c r="EG120" i="22"/>
  <c r="EH198" i="22"/>
  <c r="EC197" i="22"/>
  <c r="EL197" i="22" s="1"/>
  <c r="EJ140" i="22"/>
  <c r="EG140" i="22" s="1"/>
  <c r="EE170" i="22"/>
  <c r="EE198" i="22"/>
  <c r="EC161" i="22"/>
  <c r="EL161" i="22" s="1"/>
  <c r="EI203" i="22"/>
  <c r="ED158" i="22"/>
  <c r="DN156" i="22"/>
  <c r="DM156" i="22" s="1"/>
  <c r="DM158" i="22"/>
  <c r="DN196" i="22"/>
  <c r="DM196" i="22" s="1"/>
  <c r="CW169" i="22"/>
  <c r="DP169" i="22"/>
  <c r="CZ162" i="22"/>
  <c r="DM154" i="22"/>
  <c r="ED154" i="22"/>
  <c r="DN151" i="22"/>
  <c r="DM151" i="22" s="1"/>
  <c r="EF97" i="22"/>
  <c r="EF190" i="22"/>
  <c r="EC100" i="22"/>
  <c r="EL100" i="22" s="1"/>
  <c r="EF194" i="22"/>
  <c r="EE156" i="22"/>
  <c r="EE196" i="22"/>
  <c r="EC108" i="22"/>
  <c r="EL108" i="22" s="1"/>
  <c r="DT203" i="22"/>
  <c r="DQ193" i="22"/>
  <c r="DQ203" i="22" s="1"/>
  <c r="EG108" i="22"/>
  <c r="EH200" i="22"/>
  <c r="EG200" i="22" s="1"/>
  <c r="CG189" i="22"/>
  <c r="EC99" i="22"/>
  <c r="EL99" i="22" s="1"/>
  <c r="ED97" i="22"/>
  <c r="ED166" i="22"/>
  <c r="EC166" i="22" s="1"/>
  <c r="EL166" i="22" s="1"/>
  <c r="DM166" i="22"/>
  <c r="ED168" i="22"/>
  <c r="EC168" i="22" s="1"/>
  <c r="EL168" i="22" s="1"/>
  <c r="DM168" i="22"/>
  <c r="CZ202" i="22"/>
  <c r="EH151" i="22"/>
  <c r="EG151" i="22" s="1"/>
  <c r="EH104" i="22"/>
  <c r="EI180" i="22"/>
  <c r="EI187" i="22" s="1"/>
  <c r="EH90" i="22"/>
  <c r="EG90" i="22" s="1"/>
  <c r="EG92" i="22"/>
  <c r="CG14" i="22"/>
  <c r="EC165" i="22"/>
  <c r="EL165" i="22" s="1"/>
  <c r="DP28" i="22"/>
  <c r="CZ189" i="22"/>
  <c r="CW189" i="22" s="1"/>
  <c r="CZ201" i="22"/>
  <c r="CW201" i="22" s="1"/>
  <c r="CW28" i="22"/>
  <c r="EG198" i="22"/>
  <c r="EC177" i="22"/>
  <c r="EL177" i="22" s="1"/>
  <c r="EG132" i="22"/>
  <c r="EH196" i="22"/>
  <c r="EG196" i="22" s="1"/>
  <c r="EH126" i="22"/>
  <c r="EG126" i="22" s="1"/>
  <c r="DR203" i="22"/>
  <c r="EJ177" i="22"/>
  <c r="EJ189" i="22"/>
  <c r="EJ193" i="22"/>
  <c r="EG64" i="22"/>
  <c r="EG167" i="22"/>
  <c r="EH199" i="22"/>
  <c r="EG199" i="22" s="1"/>
  <c r="CZ198" i="22"/>
  <c r="DP25" i="22"/>
  <c r="CW25" i="22"/>
  <c r="CZ14" i="22"/>
  <c r="ED40" i="22"/>
  <c r="DN38" i="22"/>
  <c r="DM38" i="22" s="1"/>
  <c r="DM40" i="22"/>
  <c r="EH57" i="22"/>
  <c r="EG57" i="22" s="1"/>
  <c r="ED140" i="22"/>
  <c r="EC140" i="22" s="1"/>
  <c r="EL140" i="22" s="1"/>
  <c r="EC86" i="22"/>
  <c r="EL86" i="22" s="1"/>
  <c r="ED84" i="22"/>
  <c r="EC84" i="22" s="1"/>
  <c r="EL84" i="22" s="1"/>
  <c r="DP191" i="22"/>
  <c r="DM191" i="22" s="1"/>
  <c r="EF33" i="22"/>
  <c r="DM33" i="22"/>
  <c r="CJ180" i="22"/>
  <c r="CG162" i="22"/>
  <c r="CG202" i="22"/>
  <c r="DM173" i="22"/>
  <c r="ED173" i="22"/>
  <c r="DN170" i="22"/>
  <c r="CG198" i="22"/>
  <c r="DM79" i="22"/>
  <c r="ED79" i="22"/>
  <c r="DN77" i="22"/>
  <c r="DM77" i="22" s="1"/>
  <c r="DM92" i="22"/>
  <c r="ED92" i="22"/>
  <c r="DN90" i="22"/>
  <c r="DM90" i="22" s="1"/>
  <c r="EJ104" i="22"/>
  <c r="EG107" i="22"/>
  <c r="EJ190" i="22"/>
  <c r="EG190" i="22" s="1"/>
  <c r="EH77" i="22"/>
  <c r="EG77" i="22" s="1"/>
  <c r="EG79" i="22"/>
  <c r="EC167" i="22"/>
  <c r="EL167" i="22" s="1"/>
  <c r="ED199" i="22"/>
  <c r="EC199" i="22" s="1"/>
  <c r="EL199" i="22" s="1"/>
  <c r="EH189" i="22"/>
  <c r="EG166" i="22"/>
  <c r="EH162" i="22"/>
  <c r="EG162" i="22" s="1"/>
  <c r="CW170" i="22"/>
  <c r="DT180" i="22"/>
  <c r="DT187" i="22" s="1"/>
  <c r="EH156" i="22"/>
  <c r="EG156" i="22" s="1"/>
  <c r="DR180" i="22"/>
  <c r="ED174" i="22"/>
  <c r="DM174" i="22"/>
  <c r="DN198" i="22"/>
  <c r="DN190" i="22"/>
  <c r="DM190" i="22" s="1"/>
  <c r="EG124" i="22"/>
  <c r="EH194" i="22"/>
  <c r="EG194" i="22" s="1"/>
  <c r="ED112" i="22"/>
  <c r="DM112" i="22"/>
  <c r="DN110" i="22"/>
  <c r="DM110" i="22" s="1"/>
  <c r="DN194" i="22"/>
  <c r="DO120" i="22"/>
  <c r="DO180" i="22" s="1"/>
  <c r="DO187" i="22" s="1"/>
  <c r="EE123" i="22"/>
  <c r="EE189" i="22" s="1"/>
  <c r="DO194" i="22"/>
  <c r="DO203" i="22" s="1"/>
  <c r="EC193" i="22"/>
  <c r="EL193" i="22" s="1"/>
  <c r="DN104" i="22"/>
  <c r="DM104" i="22" s="1"/>
  <c r="ED106" i="22"/>
  <c r="DM106" i="22"/>
  <c r="EG70" i="22"/>
  <c r="EG177" i="22"/>
  <c r="DN31" i="22"/>
  <c r="CX14" i="22"/>
  <c r="CX180" i="22" s="1"/>
  <c r="CW31" i="22"/>
  <c r="CX202" i="22"/>
  <c r="CW202" i="22" l="1"/>
  <c r="CG203" i="22"/>
  <c r="ED162" i="22"/>
  <c r="ED200" i="22"/>
  <c r="EC200" i="22" s="1"/>
  <c r="EL200" i="22" s="1"/>
  <c r="EC97" i="22"/>
  <c r="EL97" i="22" s="1"/>
  <c r="CZ203" i="22"/>
  <c r="CX203" i="22"/>
  <c r="EH203" i="22"/>
  <c r="CX187" i="22"/>
  <c r="ED31" i="22"/>
  <c r="DM31" i="22"/>
  <c r="DN14" i="22"/>
  <c r="DN180" i="22" s="1"/>
  <c r="DN202" i="22"/>
  <c r="EC112" i="22"/>
  <c r="EL112" i="22" s="1"/>
  <c r="ED110" i="22"/>
  <c r="EC110" i="22" s="1"/>
  <c r="EL110" i="22" s="1"/>
  <c r="ED194" i="22"/>
  <c r="EC194" i="22" s="1"/>
  <c r="EL194" i="22" s="1"/>
  <c r="EC40" i="22"/>
  <c r="EL40" i="22" s="1"/>
  <c r="ED38" i="22"/>
  <c r="EC38" i="22" s="1"/>
  <c r="EL38" i="22" s="1"/>
  <c r="EG193" i="22"/>
  <c r="EG203" i="22" s="1"/>
  <c r="EJ203" i="22"/>
  <c r="EF169" i="22"/>
  <c r="DM169" i="22"/>
  <c r="DP162" i="22"/>
  <c r="DN203" i="22"/>
  <c r="DM170" i="22"/>
  <c r="CW14" i="22"/>
  <c r="EG189" i="22"/>
  <c r="DP201" i="22"/>
  <c r="DM201" i="22" s="1"/>
  <c r="EF28" i="22"/>
  <c r="DM28" i="22"/>
  <c r="DP189" i="22"/>
  <c r="EG104" i="22"/>
  <c r="EC154" i="22"/>
  <c r="EL154" i="22" s="1"/>
  <c r="ED151" i="22"/>
  <c r="EC151" i="22" s="1"/>
  <c r="EL151" i="22" s="1"/>
  <c r="EC158" i="22"/>
  <c r="EL158" i="22" s="1"/>
  <c r="ED156" i="22"/>
  <c r="EC156" i="22" s="1"/>
  <c r="EL156" i="22" s="1"/>
  <c r="ED196" i="22"/>
  <c r="EC196" i="22" s="1"/>
  <c r="EL196" i="22" s="1"/>
  <c r="EH180" i="22"/>
  <c r="EC106" i="22"/>
  <c r="EL106" i="22" s="1"/>
  <c r="ED104" i="22"/>
  <c r="EC104" i="22" s="1"/>
  <c r="EL104" i="22" s="1"/>
  <c r="EC174" i="22"/>
  <c r="EL174" i="22" s="1"/>
  <c r="ED190" i="22"/>
  <c r="EC190" i="22" s="1"/>
  <c r="EL190" i="22" s="1"/>
  <c r="ED198" i="22"/>
  <c r="ED77" i="22"/>
  <c r="EC77" i="22" s="1"/>
  <c r="EL77" i="22" s="1"/>
  <c r="EC79" i="22"/>
  <c r="EL79" i="22" s="1"/>
  <c r="ED189" i="22"/>
  <c r="ED170" i="22"/>
  <c r="EC173" i="22"/>
  <c r="EL173" i="22" s="1"/>
  <c r="DP202" i="22"/>
  <c r="EJ180" i="22"/>
  <c r="EJ187" i="22" s="1"/>
  <c r="EE194" i="22"/>
  <c r="EE203" i="22" s="1"/>
  <c r="EE120" i="22"/>
  <c r="EE180" i="22" s="1"/>
  <c r="EE187" i="22" s="1"/>
  <c r="DR187" i="22"/>
  <c r="DQ180" i="22"/>
  <c r="DQ187" i="22" s="1"/>
  <c r="EC92" i="22"/>
  <c r="EL92" i="22" s="1"/>
  <c r="ED90" i="22"/>
  <c r="EC90" i="22" s="1"/>
  <c r="EL90" i="22" s="1"/>
  <c r="CJ187" i="22"/>
  <c r="CG180" i="22"/>
  <c r="CG187" i="22" s="1"/>
  <c r="EF191" i="22"/>
  <c r="EC191" i="22" s="1"/>
  <c r="EL191" i="22" s="1"/>
  <c r="EF202" i="22"/>
  <c r="EC33" i="22"/>
  <c r="EL33" i="22" s="1"/>
  <c r="EF25" i="22"/>
  <c r="DM25" i="22"/>
  <c r="DP198" i="22"/>
  <c r="DP14" i="22"/>
  <c r="CW198" i="22"/>
  <c r="CW203" i="22" s="1"/>
  <c r="DM194" i="22"/>
  <c r="CZ180" i="22"/>
  <c r="CZ187" i="22" s="1"/>
  <c r="CW162" i="22"/>
  <c r="DN189" i="22"/>
  <c r="DM202" i="22" l="1"/>
  <c r="DM189" i="22"/>
  <c r="EF201" i="22"/>
  <c r="EC201" i="22" s="1"/>
  <c r="EL201" i="22" s="1"/>
  <c r="EC28" i="22"/>
  <c r="EL28" i="22" s="1"/>
  <c r="EF189" i="22"/>
  <c r="EC189" i="22" s="1"/>
  <c r="EL189" i="22" s="1"/>
  <c r="DN187" i="22"/>
  <c r="DP180" i="22"/>
  <c r="DP187" i="22" s="1"/>
  <c r="DM162" i="22"/>
  <c r="EC25" i="22"/>
  <c r="EL25" i="22" s="1"/>
  <c r="EF198" i="22"/>
  <c r="EC198" i="22" s="1"/>
  <c r="EL198" i="22" s="1"/>
  <c r="EF14" i="22"/>
  <c r="EC170" i="22"/>
  <c r="EL170" i="22" s="1"/>
  <c r="EC31" i="22"/>
  <c r="EL31" i="22" s="1"/>
  <c r="ED14" i="22"/>
  <c r="ED202" i="22"/>
  <c r="EC202" i="22" s="1"/>
  <c r="EL202" i="22" s="1"/>
  <c r="EH187" i="22"/>
  <c r="EG180" i="22"/>
  <c r="EG187" i="22" s="1"/>
  <c r="EC169" i="22"/>
  <c r="EL169" i="22" s="1"/>
  <c r="EF162" i="22"/>
  <c r="DM198" i="22"/>
  <c r="DP203" i="22"/>
  <c r="DM14" i="22"/>
  <c r="CW180" i="22"/>
  <c r="CW187" i="22" s="1"/>
  <c r="DM203" i="22" l="1"/>
  <c r="ED203" i="22"/>
  <c r="EC203" i="22"/>
  <c r="EL203" i="22" s="1"/>
  <c r="EF203" i="22"/>
  <c r="EC14" i="22"/>
  <c r="EL14" i="22" s="1"/>
  <c r="DM180" i="22"/>
  <c r="DM187" i="22" s="1"/>
  <c r="EF180" i="22"/>
  <c r="EF187" i="22" s="1"/>
  <c r="EC162" i="22"/>
  <c r="EL162" i="22" s="1"/>
  <c r="ED180" i="22"/>
  <c r="ED187" i="22" l="1"/>
  <c r="EC180" i="22"/>
  <c r="EC187" i="22" l="1"/>
  <c r="EL187" i="22" s="1"/>
  <c r="EL180" i="22"/>
</calcChain>
</file>

<file path=xl/sharedStrings.xml><?xml version="1.0" encoding="utf-8"?>
<sst xmlns="http://schemas.openxmlformats.org/spreadsheetml/2006/main" count="1986" uniqueCount="481">
  <si>
    <t>Iš viso</t>
  </si>
  <si>
    <t>Išlaidoms</t>
  </si>
  <si>
    <t>Iš jų:</t>
  </si>
  <si>
    <t>Administracijos direktoriaus rezervas</t>
  </si>
  <si>
    <t>Visagino savivaldybės tarybos</t>
  </si>
  <si>
    <t>Iš jų</t>
  </si>
  <si>
    <t>Eil. Nr.</t>
  </si>
  <si>
    <t>10</t>
  </si>
  <si>
    <t>„Atgimimo“ gimnazijos direktorius</t>
  </si>
  <si>
    <t>Lopšelio-darželio „Auksinis raktelis“ direktorius</t>
  </si>
  <si>
    <t>Lopšelio-darželio „Kūlverstukas“ direktorius</t>
  </si>
  <si>
    <t>Lopšelio-darželio „Gintarėlis“ direktorius</t>
  </si>
  <si>
    <t>Lopšelio-darželio „Ąžuoliukas“ direktorius</t>
  </si>
  <si>
    <t>Lopšelio-darželio „Auksinis gaidelis“ direktorius</t>
  </si>
  <si>
    <t>„Verdenės“ gimnazijos direktorius</t>
  </si>
  <si>
    <t>„Žiburio“ pagrindinės mokyklos direktorius</t>
  </si>
  <si>
    <t>Socialinių paslaugų centro direktorius</t>
  </si>
  <si>
    <t>Sporto centro direktorius</t>
  </si>
  <si>
    <t>Kultūros centro direktorius</t>
  </si>
  <si>
    <t>Viešosios bibliotekos direktorius</t>
  </si>
  <si>
    <t xml:space="preserve">Kontrolės ir audito tarnybos savivaldybės kontrolierius </t>
  </si>
  <si>
    <t>Visagino savivaldybės administracijos direktorius</t>
  </si>
  <si>
    <t>1.1.</t>
  </si>
  <si>
    <t>01</t>
  </si>
  <si>
    <t>06</t>
  </si>
  <si>
    <t>Asignavimų valdytojas</t>
  </si>
  <si>
    <t>02</t>
  </si>
  <si>
    <t>3.1.</t>
  </si>
  <si>
    <t>4.1.</t>
  </si>
  <si>
    <t>4.2.</t>
  </si>
  <si>
    <t>5.1.</t>
  </si>
  <si>
    <t>04</t>
  </si>
  <si>
    <t>03</t>
  </si>
  <si>
    <t>08</t>
  </si>
  <si>
    <t>07</t>
  </si>
  <si>
    <t>Savivaldybės valdymo tobulinimo programa</t>
  </si>
  <si>
    <t>Finansavimo šaltinis</t>
  </si>
  <si>
    <t>B</t>
  </si>
  <si>
    <t>iš jų darbo užmokesčiui</t>
  </si>
  <si>
    <t>Turtui įsigyti</t>
  </si>
  <si>
    <t>05</t>
  </si>
  <si>
    <t>09</t>
  </si>
  <si>
    <t>Švietimo paslaugų plėtros programa</t>
  </si>
  <si>
    <t xml:space="preserve"> Kūno kultūros ir sporto plėtros programa</t>
  </si>
  <si>
    <t>Gyventojų kultūrinio aktyvumo skatinimo ir identiteto stiprinimo programa</t>
  </si>
  <si>
    <t>Socialinės paramos įgyvendinimo programa</t>
  </si>
  <si>
    <t>Sveikatos apsaugos paslaugų kokybės gerinimo programa</t>
  </si>
  <si>
    <t>Aplinkos apsaugos programa</t>
  </si>
  <si>
    <t>Savivaldybės ekonominės plėtros programa</t>
  </si>
  <si>
    <t>Viešosios infrastruktūros plėtros programa</t>
  </si>
  <si>
    <t>3.2.</t>
  </si>
  <si>
    <t>3.3.</t>
  </si>
  <si>
    <t>ĮP(B)</t>
  </si>
  <si>
    <t>4.3.</t>
  </si>
  <si>
    <t>5.2.</t>
  </si>
  <si>
    <t>5.3.</t>
  </si>
  <si>
    <t>6.1.</t>
  </si>
  <si>
    <t>6.2.</t>
  </si>
  <si>
    <t>6.3.</t>
  </si>
  <si>
    <t>6.4.</t>
  </si>
  <si>
    <t>7.1.</t>
  </si>
  <si>
    <t>7.2.</t>
  </si>
  <si>
    <t>7.3.</t>
  </si>
  <si>
    <t>8.1.</t>
  </si>
  <si>
    <t>8.2.</t>
  </si>
  <si>
    <t>9.1.</t>
  </si>
  <si>
    <t>9.2.</t>
  </si>
  <si>
    <t>10.1.</t>
  </si>
  <si>
    <t>10.2.</t>
  </si>
  <si>
    <t>11.1.</t>
  </si>
  <si>
    <t>11.2.</t>
  </si>
  <si>
    <t>12.1.</t>
  </si>
  <si>
    <t>12.2.</t>
  </si>
  <si>
    <t>13.1.</t>
  </si>
  <si>
    <t>13.2.</t>
  </si>
  <si>
    <t>14.1.</t>
  </si>
  <si>
    <t>14.2.</t>
  </si>
  <si>
    <t>15.1.</t>
  </si>
  <si>
    <t>15.2.</t>
  </si>
  <si>
    <t>16.1.</t>
  </si>
  <si>
    <t>16.2.</t>
  </si>
  <si>
    <t>16.3.</t>
  </si>
  <si>
    <t>17.1.</t>
  </si>
  <si>
    <t>17.2.</t>
  </si>
  <si>
    <t>17.3.</t>
  </si>
  <si>
    <t>17.4.</t>
  </si>
  <si>
    <t>18.1.</t>
  </si>
  <si>
    <t>18.2.</t>
  </si>
  <si>
    <t>19.1.</t>
  </si>
  <si>
    <t>19.2.</t>
  </si>
  <si>
    <t>20.1.</t>
  </si>
  <si>
    <t>20.2.</t>
  </si>
  <si>
    <t>20.3.</t>
  </si>
  <si>
    <t>21.1.</t>
  </si>
  <si>
    <t>22.1.</t>
  </si>
  <si>
    <t>B - savivaldybės biudžeto lėšos</t>
  </si>
  <si>
    <t>Programų kodas</t>
  </si>
  <si>
    <t>21.2.</t>
  </si>
  <si>
    <t>Kūrybos namų direktorius</t>
  </si>
  <si>
    <t>7.</t>
  </si>
  <si>
    <t>8.</t>
  </si>
  <si>
    <t>10.</t>
  </si>
  <si>
    <t>11.</t>
  </si>
  <si>
    <t>12.</t>
  </si>
  <si>
    <t>13.</t>
  </si>
  <si>
    <t>14.</t>
  </si>
  <si>
    <t>15.</t>
  </si>
  <si>
    <t>16.</t>
  </si>
  <si>
    <t>16.4.</t>
  </si>
  <si>
    <t>17.</t>
  </si>
  <si>
    <t>18.</t>
  </si>
  <si>
    <t>19.</t>
  </si>
  <si>
    <t>20.</t>
  </si>
  <si>
    <t>21.</t>
  </si>
  <si>
    <t>22.</t>
  </si>
  <si>
    <t>23.</t>
  </si>
  <si>
    <t>Bendruomeniškumo skatinimo programa</t>
  </si>
  <si>
    <t xml:space="preserve">Q - skolintos lėšos investicijų projektams finansuoti </t>
  </si>
  <si>
    <t>ĮP(B) - įstaigų pajamų lėšos</t>
  </si>
  <si>
    <t>Q</t>
  </si>
  <si>
    <t>Kūno kultūros ir sporto plėtros programa</t>
  </si>
  <si>
    <t>Savivaldybės biudžeto lėšos</t>
  </si>
  <si>
    <t>Įstaigų pajamų lėšos</t>
  </si>
  <si>
    <t xml:space="preserve">Skolintos lėšos investicijų projektams finansuoti </t>
  </si>
  <si>
    <t>Visagino savivaldybės taryba</t>
  </si>
  <si>
    <t>1.</t>
  </si>
  <si>
    <t>2.</t>
  </si>
  <si>
    <t>2.1.</t>
  </si>
  <si>
    <t>2.2.</t>
  </si>
  <si>
    <t>2.3.</t>
  </si>
  <si>
    <t>2.4.</t>
  </si>
  <si>
    <t>2.5.</t>
  </si>
  <si>
    <t>2.6.</t>
  </si>
  <si>
    <t>2.7.</t>
  </si>
  <si>
    <t>2.8.</t>
  </si>
  <si>
    <t>2.9.</t>
  </si>
  <si>
    <t>2.10.</t>
  </si>
  <si>
    <t>2.11.</t>
  </si>
  <si>
    <t>2.12.</t>
  </si>
  <si>
    <t>3.</t>
  </si>
  <si>
    <t>6.</t>
  </si>
  <si>
    <t>5.</t>
  </si>
  <si>
    <t>4.</t>
  </si>
  <si>
    <t>3.4.</t>
  </si>
  <si>
    <t>5.4.</t>
  </si>
  <si>
    <t>6.5.</t>
  </si>
  <si>
    <t>8.3.</t>
  </si>
  <si>
    <t>9.3.</t>
  </si>
  <si>
    <t>11.3.</t>
  </si>
  <si>
    <t>21.3.</t>
  </si>
  <si>
    <t>12.3.</t>
  </si>
  <si>
    <t>Rekreacijos paslaugų centro direktorius</t>
  </si>
  <si>
    <t>2.1 priedas</t>
  </si>
  <si>
    <t>Č. Sasnausko menų mokyklos direktorius</t>
  </si>
  <si>
    <t>Tūkst. Eur</t>
  </si>
  <si>
    <t>Šeimos ir vaiko gerovės centro direktorius</t>
  </si>
  <si>
    <t>Draugystės progimnazijos direktorius</t>
  </si>
  <si>
    <t>„Gerosios vilties“ progimnazijos direktorius</t>
  </si>
  <si>
    <t>Švietimo pagalbos tarnybos direktorius</t>
  </si>
  <si>
    <t>21.4.</t>
  </si>
  <si>
    <t>2.12.3.</t>
  </si>
  <si>
    <t>Projekto „Naujų kapinių techninio projekto parengimas ir naujų kapinių įrengimas, kolumbariumo įrengimas“ įgyvendinimas</t>
  </si>
  <si>
    <t>9.</t>
  </si>
  <si>
    <t>10.3.</t>
  </si>
  <si>
    <t>13.3.</t>
  </si>
  <si>
    <t>14.3.</t>
  </si>
  <si>
    <t>14.4.</t>
  </si>
  <si>
    <t>15.3.</t>
  </si>
  <si>
    <t>16.5.</t>
  </si>
  <si>
    <t>16.6.</t>
  </si>
  <si>
    <t>16.7.</t>
  </si>
  <si>
    <t>19.3.</t>
  </si>
  <si>
    <t>19.4.</t>
  </si>
  <si>
    <t>20.4.</t>
  </si>
  <si>
    <t>20.5.</t>
  </si>
  <si>
    <t>IŠ VISO:</t>
  </si>
  <si>
    <t>Iš jų: finansinių įsipareigojimų vykdymas (paskolų grąžinimas)</t>
  </si>
  <si>
    <t>24.</t>
  </si>
  <si>
    <t>IŠ VISO ASIGNAVIMŲ (23-24)</t>
  </si>
  <si>
    <t>Apyvartos lėšos</t>
  </si>
  <si>
    <t>12.4.</t>
  </si>
  <si>
    <t>4.4.</t>
  </si>
  <si>
    <t>7.4.</t>
  </si>
  <si>
    <t>9.4.</t>
  </si>
  <si>
    <t>10.4.</t>
  </si>
  <si>
    <t>11.4.</t>
  </si>
  <si>
    <t>13.4.</t>
  </si>
  <si>
    <t>14.5.</t>
  </si>
  <si>
    <t>14.6.</t>
  </si>
  <si>
    <t>17.5.</t>
  </si>
  <si>
    <t>17.6.</t>
  </si>
  <si>
    <t>20.6.</t>
  </si>
  <si>
    <t>redakcija)</t>
  </si>
  <si>
    <t>Pakeitimai</t>
  </si>
  <si>
    <t>8.4.</t>
  </si>
  <si>
    <t>Iš žemės realizavimo pajamų</t>
  </si>
  <si>
    <t>Iš pastatų ir statinių realizavimo pajamų</t>
  </si>
  <si>
    <t>17.7.</t>
  </si>
  <si>
    <t>Iš jų 2018 m. nepanaudota pajamų dalis</t>
  </si>
  <si>
    <t>8.5.</t>
  </si>
  <si>
    <t>11.5.</t>
  </si>
  <si>
    <t>Projekto „VšĮ IAE regiono verslo ir turizmo informacijos centro pastato, esančio adresu Taikos g. 7, energijos vartojimo efektyvumo didinimas“ įgyvendinimas</t>
  </si>
  <si>
    <t>Finansų ir biudžeto skyrius (paskolų grąžinimas ir palūkanų mokėjimas)</t>
  </si>
  <si>
    <t>Patikslinti asignavimai 2019.03.28  TS-43</t>
  </si>
  <si>
    <t>9.5.</t>
  </si>
  <si>
    <t>Patikslinti asignavimai 2019.05.28  TS-115</t>
  </si>
  <si>
    <t>Patikslinti asignavimai 2019.06.27  TS-144</t>
  </si>
  <si>
    <t>Visagino savivaldybės tarybos ir mero sekretoriatas</t>
  </si>
  <si>
    <t>Patikslinti asignavimai 2019.08.29  TS-182</t>
  </si>
  <si>
    <t>18.3.</t>
  </si>
  <si>
    <t>Patikslinti asignavimai 2019.09.26  TS-223</t>
  </si>
  <si>
    <t>12.5.</t>
  </si>
  <si>
    <t>Patikslinti asignavimai 2019.10.30  TS-236</t>
  </si>
  <si>
    <t>Patikslinti asignavimai 2019.11.27  TS-261</t>
  </si>
  <si>
    <t>Visagino savivaldybės 2019-2020 m. biudžeto lėšos savarankiškoms funkcijoms vykdyti</t>
  </si>
  <si>
    <t xml:space="preserve">Patvirtinti asignavimai 2019.02.21  </t>
  </si>
  <si>
    <t>Patikslinti asignavimai 2019.12.19</t>
  </si>
  <si>
    <t>Planuojami asignavimai 2020.02.__</t>
  </si>
  <si>
    <t>2.13.</t>
  </si>
  <si>
    <t>2.13.1.</t>
  </si>
  <si>
    <t>2.13.2.</t>
  </si>
  <si>
    <t>2.10.1.</t>
  </si>
  <si>
    <t>4.5.</t>
  </si>
  <si>
    <t>14.7.</t>
  </si>
  <si>
    <t>17.8.</t>
  </si>
  <si>
    <t>Projekto „Visagino miesto centralizuotos šildymo sistemos modernizavimas ir atnaujinimas“  įgyvendinimas (II etapas) // Projekto „Visagino savivaldybės viešųjų pastatų energijos efektyvumo didinimas (IV etapas)“  įgyvendinimas</t>
  </si>
  <si>
    <t>verslo plėtros sąlygoms gerinti</t>
  </si>
  <si>
    <t>16.8.</t>
  </si>
  <si>
    <r>
      <t xml:space="preserve">2019 m. palyginimas su 2018 m. </t>
    </r>
    <r>
      <rPr>
        <b/>
        <u/>
        <sz val="9"/>
        <rFont val="Times New Roman"/>
        <family val="1"/>
      </rPr>
      <t>patvirtintu</t>
    </r>
    <r>
      <rPr>
        <b/>
        <sz val="9"/>
        <rFont val="Times New Roman"/>
        <family val="1"/>
      </rPr>
      <t xml:space="preserve"> planu</t>
    </r>
  </si>
  <si>
    <r>
      <t xml:space="preserve">2019 m. palyginimas su 2018 m. </t>
    </r>
    <r>
      <rPr>
        <b/>
        <u/>
        <sz val="9"/>
        <rFont val="Times New Roman"/>
        <family val="1"/>
      </rPr>
      <t>patikslintu</t>
    </r>
    <r>
      <rPr>
        <b/>
        <sz val="9"/>
        <rFont val="Times New Roman"/>
        <family val="1"/>
      </rPr>
      <t xml:space="preserve"> planu</t>
    </r>
  </si>
  <si>
    <t>VšĮ Visagino edukacijos centro dalininko įnašas</t>
  </si>
  <si>
    <t>2.3.1.</t>
  </si>
  <si>
    <t>VšĮ Visagino ligoninės dalininko įnašas</t>
  </si>
  <si>
    <t>4.6.</t>
  </si>
  <si>
    <t>7.5.</t>
  </si>
  <si>
    <t>11.6.</t>
  </si>
  <si>
    <t>10.5.</t>
  </si>
  <si>
    <t>9.6.</t>
  </si>
  <si>
    <t>18.4.</t>
  </si>
  <si>
    <t>2.4.1.</t>
  </si>
  <si>
    <t>18.5.</t>
  </si>
  <si>
    <t>18.6.</t>
  </si>
  <si>
    <t>18.7.</t>
  </si>
  <si>
    <t>Kūrybos ir menų akademijos direktorius</t>
  </si>
  <si>
    <t>15.4.</t>
  </si>
  <si>
    <t>3.5.</t>
  </si>
  <si>
    <t>6.6.</t>
  </si>
  <si>
    <t>VšĮ Visagino pirminės sveikatos priežiūros centro dalininko įnašas</t>
  </si>
  <si>
    <t>8.6.</t>
  </si>
  <si>
    <t>VšĮ Visagino krepšinio mokyklos dalininko įnašas</t>
  </si>
  <si>
    <t>10.6.</t>
  </si>
  <si>
    <t>Projektui  „Apleisto (nenaudojamo) buvusio visuomeninio pastato konversija ir pritaikymas Savarankiško gyvenimo namų Visagine įkūrimui“ įgyvendinti</t>
  </si>
  <si>
    <t>Projektui „VšĮ IAE regiono verslo ir turizmo informacijos centro pastato, esančio adresu Taikos g. 7, energijos vartojimo efektyvumo didinimas“ įgyvendinti</t>
  </si>
  <si>
    <t>Projektui „Gerinti sąlygas ugdyti fiziškai aktyvią visuomenę remontuojant, atnaujinant (modernizuojant) ir (arba) rekonstruojant esamų sporto bazių infrastruktūrą Visagino savivaldybėje“  įgyvendinti</t>
  </si>
  <si>
    <t>Finansų ir biudžeto skyrius (paskolų ir dotacijos grąžinimas, palūkanų mokėjimas)</t>
  </si>
  <si>
    <t>3.6.</t>
  </si>
  <si>
    <t>5.5.</t>
  </si>
  <si>
    <t>13.5.</t>
  </si>
  <si>
    <t>15.5.</t>
  </si>
  <si>
    <t>IŠ VISO ASIGNAVIMŲ (21-22)</t>
  </si>
  <si>
    <t>19.5.</t>
  </si>
  <si>
    <t>13.6.</t>
  </si>
  <si>
    <t>5.6.</t>
  </si>
  <si>
    <t>2.4.2.</t>
  </si>
  <si>
    <t>2.4.3.</t>
  </si>
  <si>
    <t>VšĮ Visagino graikų-romėnų ir imtynių centro dalininko įnašas</t>
  </si>
  <si>
    <t>VšĮ Visagino futbolo centro dalininko įnašas</t>
  </si>
  <si>
    <t>2.5.1.</t>
  </si>
  <si>
    <t>Iš jų VšĮ Visagino miesto muziejaus dalininko įnašas</t>
  </si>
  <si>
    <t>6.7.</t>
  </si>
  <si>
    <t>7.6.</t>
  </si>
  <si>
    <t>19.6.</t>
  </si>
  <si>
    <t>2.4.4.</t>
  </si>
  <si>
    <t>VšĮ Visagino sporto ir rekreacijos centro dalininko įnašas</t>
  </si>
  <si>
    <t>12.6.</t>
  </si>
  <si>
    <t>(2022 m. gruodžio __ d. sprendimo Nr. TS-___</t>
  </si>
  <si>
    <t>2022 m. vasario __ d. sprendimo Nr. TS-__</t>
  </si>
  <si>
    <t>Visagino savivaldybės 2022 m. biudžeto lėšos savarankiškoms funkcijoms vykdyti</t>
  </si>
  <si>
    <t>iš jų: darbo užmokesčiui</t>
  </si>
  <si>
    <t>Iš jų iš 2021 m. nepanaudotos pajamų dalies iš viso</t>
  </si>
  <si>
    <t>12.7.</t>
  </si>
  <si>
    <t>11.7.</t>
  </si>
  <si>
    <t>10.7.</t>
  </si>
  <si>
    <t>9.7.</t>
  </si>
  <si>
    <t>8.7.</t>
  </si>
  <si>
    <t>Skirta lėšų iš viso</t>
  </si>
  <si>
    <t>18.4.1.</t>
  </si>
  <si>
    <t>iš jų: Projektui „Apleisto (nenaudojamo) buvusio visuomeninio pastato konversija ir pritaikymas Savarankiško gyvenimo namų Visagine įkūrimui“ įgyvendinti</t>
  </si>
  <si>
    <t>2.12.1.</t>
  </si>
  <si>
    <t>2.12.2.</t>
  </si>
  <si>
    <t>2022 m. vasario __  d. sprendimo Nr. TS-__</t>
  </si>
  <si>
    <t>(2022 m. gruodžio __ d. sprendimo Nr. TS-__</t>
  </si>
  <si>
    <t>2.2  priedas</t>
  </si>
  <si>
    <t>2022 m. Visagino savivaldybės asignavimai iš valstybės biudžeto specialios tikslinės dotacijos savivaldybių biudžetams lėšų</t>
  </si>
  <si>
    <t>Specialios tikslinės dotacijos paskirties pavadinimas ir asignavimų valdytojas</t>
  </si>
  <si>
    <t>Programos kodas</t>
  </si>
  <si>
    <r>
      <rPr>
        <b/>
        <sz val="11"/>
        <rFont val="Times New Roman"/>
        <family val="1"/>
        <charset val="186"/>
      </rPr>
      <t>Iš viso</t>
    </r>
    <r>
      <rPr>
        <b/>
        <sz val="9"/>
        <rFont val="Times New Roman"/>
        <family val="1"/>
      </rPr>
      <t xml:space="preserve"> (5+7+9)</t>
    </r>
  </si>
  <si>
    <t>Skirta valstybinėms (valstybės perduotoms savivaldybėms) funkcijoms vykdyti (D)</t>
  </si>
  <si>
    <t>Skirta ugdymo reikmėms finansuoti (MK)</t>
  </si>
  <si>
    <t>Kita speciali tikslinė dotacija (SD)</t>
  </si>
  <si>
    <t>iš jų:</t>
  </si>
  <si>
    <t>Gyventojų registrui tvarkyti ir duomenims valstybės registrui teikti</t>
  </si>
  <si>
    <t>1.2.</t>
  </si>
  <si>
    <t>Savivaldybėms priskirtiems archyviniams dokumentams tvarkyti</t>
  </si>
  <si>
    <t>1.3.</t>
  </si>
  <si>
    <t>Duomenims į Suteiktos valstybės pagalbos ir nereikšmingos pagalbos registrą teikti</t>
  </si>
  <si>
    <t>1.4.</t>
  </si>
  <si>
    <t>Jaunimo teisių apsaugai</t>
  </si>
  <si>
    <t>1.5.</t>
  </si>
  <si>
    <t>Valstybinės kalbos vartojimo ir taisyklingumo kontrolei</t>
  </si>
  <si>
    <t>1.6.</t>
  </si>
  <si>
    <t>Civilinės būklės aktams registruoti</t>
  </si>
  <si>
    <t>1.9.</t>
  </si>
  <si>
    <t>Gyvenamosios vietos deklaravimo duomenų ir gyvenamosios vietos nedeklaravusių asmenų apskaitos duomenims tvarkyti</t>
  </si>
  <si>
    <t>1.7.</t>
  </si>
  <si>
    <t>Valstybės garantuojamai pirminei teisinei pagalbai teikti</t>
  </si>
  <si>
    <t>1.8.</t>
  </si>
  <si>
    <t>Dalyvauti rengiant ir vykdant mobilizaciją, demobilizaciją, priimančiosios šalies paramą</t>
  </si>
  <si>
    <t>1.10.</t>
  </si>
  <si>
    <t>Civilinei saugai</t>
  </si>
  <si>
    <t>1.10.1.</t>
  </si>
  <si>
    <t>iš jų: Astravo atominės elektrinės branduolinei avarijai pasirengti</t>
  </si>
  <si>
    <t>1.11.</t>
  </si>
  <si>
    <t>Žemės ūkio funkcijoms atlikti</t>
  </si>
  <si>
    <t>1.12.</t>
  </si>
  <si>
    <t>Savivaldybėms priskirtos valstybinės žemės ir kito valstybės turto valdymui, naudojimui ir disponavimui juo patikėjimo teise užtikrinti</t>
  </si>
  <si>
    <t>1.13.</t>
  </si>
  <si>
    <t>Savivaldybėms priskirtiems geodezijos ir kartografijos darbams (savivaldybių erdvinių duomenų rinkiniams tvarkyti) organizuoti ir vykdyti</t>
  </si>
  <si>
    <t>1.14.</t>
  </si>
  <si>
    <t>Koordinuotai teikiamų paslaugų vaikams nuo gimimo iki 18 metų (turintiems didelių ir labai didelių specialiųjų ugdymosi poreikių iki 21 metų) ir vaiko atstovams koordinavimui finansuoti</t>
  </si>
  <si>
    <t>1.15.</t>
  </si>
  <si>
    <t>Socialinėms išmokoms ir kompensacijoms skaičiuoti ir mokėti (administravimas)</t>
  </si>
  <si>
    <t>1.16.</t>
  </si>
  <si>
    <t>Socialinėms išmokoms ir kompensacijoms skaičiuoti ir mokėti</t>
  </si>
  <si>
    <t>1.17.</t>
  </si>
  <si>
    <t>Socialinei paramai mokiniams (administravimas)</t>
  </si>
  <si>
    <t>1.18.</t>
  </si>
  <si>
    <t>Socialinei paramai mokiniams (už įsigytus mokinio reikmenis)</t>
  </si>
  <si>
    <t>1.19.</t>
  </si>
  <si>
    <t xml:space="preserve">Socialinėms paslaugoms (socialinei globai asmenims su sunkia negalia) administruoti </t>
  </si>
  <si>
    <t>1.20.</t>
  </si>
  <si>
    <t xml:space="preserve">Socialinėms paslaugoms (socialinei globai asmenims su sunkia negalia) </t>
  </si>
  <si>
    <t>1.21.</t>
  </si>
  <si>
    <t>Savivaldybių patvirtintoms užimtumo didinimo programoms administruoti</t>
  </si>
  <si>
    <t>1.22.</t>
  </si>
  <si>
    <t>Savivaldybių patvirtintoms užimtumo didinimo programoms įgyvendinti</t>
  </si>
  <si>
    <t>1.22.1.</t>
  </si>
  <si>
    <t>iš jų: Užimtumo skatinimo ir motyvavimo paslaugų nedirbantiems ir socialinę paramą gaunantiems asmenims modeliui įgyvendinti</t>
  </si>
  <si>
    <t>1.23.</t>
  </si>
  <si>
    <t>Būsto nuomos mokesčio daliai kompensuoti (administravimas)</t>
  </si>
  <si>
    <t>1.24.</t>
  </si>
  <si>
    <t>Būsto nuomos mokesčio daliai kompensuoti</t>
  </si>
  <si>
    <t>1.25.</t>
  </si>
  <si>
    <t>Visuomenės sveikatos priežiūros funkcijoms vykdyti (Plėtoti sveiką gyvenseną bei stiprinti sveikos gyvensenos įgūdžius ugdymo įstaigose ir bendruomenėse, vykdyti visuomenės sveikatos stebėseną savivaldybėse)</t>
  </si>
  <si>
    <t>1.26.</t>
  </si>
  <si>
    <t>Visuomenės sveikatos priežiūros funkcijoms vykdyti (Plėtoti visuomenės psichikos sveikatos paslaugų prieinamumą bei ankstyvojo savižudybių atpažinimo ir kompleksinės pagalbos teikimo sistemą)</t>
  </si>
  <si>
    <t>1.27.</t>
  </si>
  <si>
    <t>Neveiksnių asmenų būklės peržiūrėjimui užtikrinti</t>
  </si>
  <si>
    <t>1.28.</t>
  </si>
  <si>
    <t>Ugdymo reikmėms finansuoti</t>
  </si>
  <si>
    <t>1.28.1.</t>
  </si>
  <si>
    <t>Mokymo pasiekimų patikrinimams orgainizuoti ir vykdyti</t>
  </si>
  <si>
    <t>1.28.2.</t>
  </si>
  <si>
    <t xml:space="preserve">Nepaskirstytos ugdymo reikmėms finansuoti lėšos </t>
  </si>
  <si>
    <t>1.28.3.</t>
  </si>
  <si>
    <t>Formalųjį švietimą papildančio ugdymo programoms finansuoti (VšĮ sporto ir rekreacijos paslaugų centras)</t>
  </si>
  <si>
    <t>2.1.1.</t>
  </si>
  <si>
    <t>iš jų: mokymo pasiekimų patikrinimams orgainizuoti ir vykdyti</t>
  </si>
  <si>
    <t>Socialinei paramai mokiniams (mokinių maitinimas)</t>
  </si>
  <si>
    <t>3.1.1.</t>
  </si>
  <si>
    <t>4.1.1.</t>
  </si>
  <si>
    <t>5.1.1.</t>
  </si>
  <si>
    <t>Savivaldybių mokykloms (klasėms arba grupėms), skirtoms šalies (regiono) mokiniams, turintiems specialiųjų ugdymosi poreikių, ir kitoms savivaldybėms perduotoms įstaigoms išlaikyti</t>
  </si>
  <si>
    <t>6.1.1.</t>
  </si>
  <si>
    <t>Ugdymo reikmėms finansuoti (Formalųjį švietimą papildančio ugdymo programoms finansuoti)</t>
  </si>
  <si>
    <t xml:space="preserve">Švietimo pagalbos tarnybos direktorius </t>
  </si>
  <si>
    <t>Ugdymo reikmėms finansuoti (Švietimo pagalbai ir pedagoginei psichologinei pagalbai organizuoti)</t>
  </si>
  <si>
    <t>Užimtumo didinimo programai įgyvendinti</t>
  </si>
  <si>
    <t>Socialinėms paslaugoms (socialinei priežiūrai šeimoms teikti)</t>
  </si>
  <si>
    <t>Iš viso:</t>
  </si>
  <si>
    <t>01 programa</t>
  </si>
  <si>
    <t>02 programa</t>
  </si>
  <si>
    <t>03 programa</t>
  </si>
  <si>
    <t>06 programa</t>
  </si>
  <si>
    <t>07 programa</t>
  </si>
  <si>
    <t>09 programa</t>
  </si>
  <si>
    <t>2.3 priedas</t>
  </si>
  <si>
    <t xml:space="preserve">Visagino savivaldybės 2022 m. asignavimai iš valstybės biudžeto lėšų ir kitų dotacijų </t>
  </si>
  <si>
    <t>Asignavimų valdytojas ir dotacijos paskirties pavadinimas</t>
  </si>
  <si>
    <t xml:space="preserve">Skirta  lėšų </t>
  </si>
  <si>
    <t>iš valstybės biudžeto lėšų, skirtų priemonei „Pasirengti galimai avarijai Astravo AE (valstybės biudžeto lšos, skirtos savivaldybėms)“ įgyvendinti</t>
  </si>
  <si>
    <t>Dotacija iš valstybės biudžeto lėšų, skirtų iš Lietuvos Respublikos švietimo, mokslo ir sporto ministerijos neformaliojo vaikų švietimo programoms finansuoti</t>
  </si>
  <si>
    <t>iš valstybės biudžeto lėšų, skirtų iš Lietuvos Respublikos švietimo, mokslo ir sporto ministerijos naujai įsteigtoms mokytojų padėjėjų pareigybėms finansuoti</t>
  </si>
  <si>
    <t>iš valstybės biudžeto lėšų, skirtų iš Lietuvos Respublikos finansų ministerijos 2020 metų savivaldybių biudžetų negautų pajamų padengimui, veikloms įgyvendinti</t>
  </si>
  <si>
    <t>iš valstybės biudžeto lėšų, skirtų iš Lietuvos Respublikos socialinės apsaugos ir darbo ministerijos savivaldybėms bendruomeninei veiklai stiprinti</t>
  </si>
  <si>
    <t>Dotacija iš valstybės biudžeto lėšų, skirtų iš Lietuvos Respublikos socialinės apsaugos ir darbo ministerijos savivaldybių akredituotai vaikų dienos socialinei priežiūrai  administruoti</t>
  </si>
  <si>
    <t xml:space="preserve">Dotacija iš valstybės biudžeto lėšų, skirtų iš Neįgaliųjų reikalų departamento prie Socialinės apsaugos ir darbo ministerijos asmeninei pagalbai administruoti </t>
  </si>
  <si>
    <t>Dotacija iš valstybės biudžeto lėšų, skirtų iš Lietuvos Respublikos socialinės apsaugos ir darbo ministerijos, siekiant užtikrinti Lietuvos Respublikos piniginės socialinės paramos nepasiturintiems gyventojams įstatymo įgyvendinimą dėl padidėjusių išlaidų būsto šildymo išlaidų kompensacijoms teikti</t>
  </si>
  <si>
    <t>iš valstybės biudžeto lėšų, skirtų rentgeno diagnostikos paslaugų kokybės gerinimo programai 2020 metais įgyvendinti</t>
  </si>
  <si>
    <t xml:space="preserve">iš valstybės biudžeto lėšų, skirtų iš Sveikatos apsaugos ministerijos įstaigų patirtoms išlaidoms už skiepijimą nuo COVID-19 ligos (koronoviruso infekcijos) paslaugoms kompensuoti </t>
  </si>
  <si>
    <t>iš valstybės biudžeto lėšų, skirtų iš Sveikatos apsaugos ministerijos asmens sveikatos priežiūros įstaigoms, teikiančioms pirmines ambulatorines šeimos medicinos asmens sveikatos priežiūros paslaugas už paskiepytus pirmąją nuo COVID-19 ligos (koronaviruso infekcijos) vakcinos doze asmenis</t>
  </si>
  <si>
    <t>iš valstybės biudžeto lėšų, skirtų iš Sveikatos apsaugos ministerijos asmens sveikatos priežiūros įstaigų patirtų išlaidų darbo užmokesčiui kompensuoti</t>
  </si>
  <si>
    <t>iš valstybės biudžeto lėšų, skirtų iš Sveikatos apsaugos ministerijos asmens sveikatos priežiūros įstaigų patirtų išlaidų už ėminių COVID-19 ligos (koronaviruso infekcijos) tyrimui ar greitajam testui paėmimo mobiliuosiuose punktuose ir COVID-19 ligos (koronaviruso infekcijos) tyrimo ar greitojo testo atlikimo paslaugoms padengti</t>
  </si>
  <si>
    <t>iš valstybės biudžeto lėšų, skirtų iš Sveikatos apsaugos ministerijos asmens sveikatos priežiūros įstaigų patirtų išlaidų už informacijos apie kitoje šalyje asmeniui atliktą skiepijimą COVID-19 ligos vakcina ar persirgimą COVID-19 liga pagal asmens pateiktą kitos šalies sveikatos priežiūros įstaigos jam išduotą dokumentą, kuriuo patvirtinamas teigiamu PGR tyrimu diagnozuotas persirgimas COVID-19 liga, įvedimą į Elektroninės sveikatos paslaugų ir bendradarbiavimo infrastruktūros informacinę sistemą kompensuoti</t>
  </si>
  <si>
    <t>iš valstybės biudžeto lėšų, skirtų iš Lietuvos Respublikos Vyriausybės rezervo COVID-19 ligos (koronaviruso infekcijos) padariniams šalinti ir jos plitimui esant valstybės lygio ekstremaliajai situacijai valdyti</t>
  </si>
  <si>
    <t xml:space="preserve">Dotacija iš valstybės biudžeto lėšų, skirtų iš Lietuvos Respublikos finansų ministerijos pagal 2014–2020 metų Europos Sąjungos fondų investicijų veiksmų programą įgyvendinamo projekto „Komunalinių atliekų tvarkymo infrastruktūros plėtra Visagino savivaldybėje“  nuosavam indėliui užtikrinti </t>
  </si>
  <si>
    <t>iš  Finansų ministerijos Europos Sąjungos ir kitos tarptautinės finansinės paramos programų ir projektų įgyvendinimo užtikrinimo programos lėšų projektui „Apleistų / avarinių pastatų nugriovimas ir teritorijos valymas, regeneruojant buvusį karinį miestelį ir pritaikant kompleksą inovatyviai pramonei vystyti - SMART PARK įkūrimui“ įgyvendinti</t>
  </si>
  <si>
    <t>iš specialios tikslinės dotacijos savivaldybėms vietinės reikšmės keliams (gatvėms) tiesti, taisyti, prižiūrėti ir saugaus eismo sąlygoms  užtikrinti (Dūkšto keliui Nr. 1718-1 tiesti)</t>
  </si>
  <si>
    <t>iš valstybės vardu pasiskolintų lėšų Saulės jėgainių Visagine įrengimui</t>
  </si>
  <si>
    <t>Dotacija iš valstybės biudžeto lėšų, skirtų iš Lietuvos Respublikos aplinkos ministerijos projektui „Vandens transporto priemonių nuleidimo vietų įrengimas Visagino ežere“ įgyvendinti</t>
  </si>
  <si>
    <t xml:space="preserve">Dotacija iš valstybės biudžeto lėšų, skirtų iš Lietuvos Respublikos finansų ministerijos pagal 2014–2020 metų Europos Sąjungos fondų investicijų veiksmų programą įgyvendinamo projekto „Visagino inovacijų klasterio įkūrimas“  nuosavam indėliui užtikrinti </t>
  </si>
  <si>
    <t xml:space="preserve">Dotacija iš valstybės biudžeto lėšų, skirtų iš Lietuvos Respublikos finansų ministerijos pagal 2014–2020 metų Europos Sąjungos fondų investicijų veiksmų programą įgyvendinamo projekto „Autobusų stoties su turizmo informacijos centru įrengimas  Visagino savivaldybėje“  nuosavam indėliui užtikrinti </t>
  </si>
  <si>
    <t xml:space="preserve">Dotacija iš valstybės biudžeto lėšų, skirtų iš Lietuvos Respublikos finansų ministerijos pagal 2014–2020 metų Europos Sąjungos fondų investicijų veiksmų programą įgyvendinamo projekto „Sedulinos alėjos atkarpos nuo Parko g. iki Visagino g. rekonstrukcija“  nuosavam indėliui užtikrinti </t>
  </si>
  <si>
    <t>iš  Finansų ministerijos Europos Sąjungos ir kitos tarptautinės finansinės paramos programų ir projektų įgyvendinimo užtikrinimo programos lėšų projektui „Jungties nuo geležinkelio stoties iki Visagino miesto centro įrengimas, kartu su etno kultūrų parku įrengimas“ įgyvendinti</t>
  </si>
  <si>
    <t>iš  Finansų ministerijos Europos Sąjungos ir kitos tarptautinės finansinės paramos programų ir projektų įgyvendinimo užtikrinimo programos lėšų projektui „Inžinerinių paviršinių nuotekų surinkimo ir šalinimo tinklų rekonstravimas Visagino g. atkarpoje nuo Parko g. iki Vilties g.“ įgyvendinti</t>
  </si>
  <si>
    <t xml:space="preserve">Dotacija iš valstybės biudžeto lėšų, skirtų iš Lietuvos Respublikos finansų ministerijos pagal 2014–2020 metų Europos Sąjungos fondų investicijų veiksmų programą įgyvendinamo projekto „Darnaus judumo infrastruktūros įrengimas Visagino mieste“  nuosavam indėliui užtikrinti </t>
  </si>
  <si>
    <t>iš valstybės biudžeto lėšų, skirtų iš Lietuvos Respublikos Vyriausybės rezervo išlaidoms, patirtoms vykdant įsipareigojimus vietinio transporto vežėjams, kurie negavo pajamų dėl su COVID-19 pandemija susijusių keleivių vežimo apribojimų, esant valstybės lygio ekstremaliajai situacijai, kompensuoti</t>
  </si>
  <si>
    <t>Dotacija iš specialios tikslinės dotacijos savivaldybėms vietinės reikšmės keliams (gatvėms) tiesti, taisyti, prižiūrėti ir saugaus eismo sąlygoms  užtikrinti</t>
  </si>
  <si>
    <t>iš valstybės biudžeto lėšų, skirtų išlaidoms, susijusioms su valstybinių ir savivaldybių mokyklų mokytojų, dirbančių pagal ikimokyklinio, priešmokyklinio, bendrojo ugdymo ir profesinio mokymo programas, skaičiaus optimizavimu, apmokėti</t>
  </si>
  <si>
    <t>Dotacija iš valstybės biudžeto lėšų, skirtų iš Lietuvos Respublikos švietimo, mokslo ir sporto ministerijos pedagoginių darbuotojų, išlaikomų iš savivaldybių biudžetų lėšų (išskyrus valstybės biudžeto specialias tikslines dotacijas), darbo užmokesčiui didinti</t>
  </si>
  <si>
    <t>Dotacija iš valstybės biudžeto lėšų, skirtų iš Lietuvos Respublikos socialinės apsaugos ir darbo ministerijos, skirtų biudžetinių įstaigų vadovaujančių darbuotojų minimaliems pareiginės algos koeficientams padidinti, siekiant gerinti jų darbo apmokėjimo sąlygas</t>
  </si>
  <si>
    <t>iš valstybės biudžeto lėšų skirtų konsultacijų mokiniams, pasirinkusiems laikyti brandos egzaminus 2021 metais ir dėl COVID-19 pandemijos patyrusių mokymosi praradimų, finansuoti</t>
  </si>
  <si>
    <t>iš valstybės biudžeto lėšų, skirtų iš Lietuvos Respublikos švietimo, mokslo ir sporto ministerijos skaitmeninio ugdymo plėtrai</t>
  </si>
  <si>
    <t>iš valstybės biudžeto lėšų skirtų konsultacijų mokiniams, skirtų mokymosi praradimams kompensuoti</t>
  </si>
  <si>
    <t>iš valstybės biudžeto lėšų skirtų konsultacijų mokiniams, patiriantiems mokymosi sunkumų, finansuoti</t>
  </si>
  <si>
    <t>iš valstybės biudžeto lėšų, skirtų iš Lietuvos Respublikos švietimo, mokslo ir sporto ministerijos  neformaliojo vaikų švietimo programoms finansuoti</t>
  </si>
  <si>
    <t>iš valstybės biudžeto lėšų, skirtų iš Lietuvos Respublikos kultūros ministerijos  savivaldybių kultūros darbuotojų darbo užmokesčiui padidinti</t>
  </si>
  <si>
    <t>iš valstybės vardu pasiskolintų lėšų, skirtų patirtoms materialinių išteklių teikimo, siekiant šalinti COVID-19 ligos (koronaviruso infekcijos) padarinius ir valdyti jos plitimą esant valstybės lygio ekstremaliajai situacijai, išlaidoms kompensuoti</t>
  </si>
  <si>
    <t>Dotacija iš valstybės biudžeto lėšų, skirtų iš Lietuvos Respublikos kultūros ministerijos dokumentams įsigyti ir valstybės biudžeto dotacija, skiriama savivaldybių biudžetams savivaldybių viešosioms bibliotekoms dokumentams įsigyti</t>
  </si>
  <si>
    <t>iš valstybės biudžeto lėšų, skirtų iš Lietuvos Respublikos kultūros ministerijos savivaldybių kultūros darbuotojų darbo užmokesčiui padidinti</t>
  </si>
  <si>
    <t>iš valstybės vardu pasiskolintų lėšų skirtų vaikų vasaros stovyklų ir kitų neformaliojo vaikų švietimo veiklų finansuoti</t>
  </si>
  <si>
    <t>iš valstybės biudžeto lėšų kultūros ir meno darbuotojų darbo užmokesčiui padidinti</t>
  </si>
  <si>
    <t>Dotacija iš valstybės biudžeto lėšų, skirtų iš Lietuvos Respublikos socialinės apsaugos ir darbo ministerijos akredituotai vaikų dienos socialinei priežiūrai organizuoti ir teikti</t>
  </si>
  <si>
    <t>iš valstybės biudžeto lėšų, skirtų socialinių paslaugų srities darbuotojų minimaliesiems pareiginės algos pastoviosios dalies koeficientams ir socialinių darbuotojų pareiginės algos pastoviajai daliai didinti, atsižvelgiant į turimą kvalifikacinę kategoriją</t>
  </si>
  <si>
    <t>Dotacija iš valstybės biudžeto lėšų, skirtų iš Lietuvos Respublikos socialinės apsaugos ir darbo ministerijos socialinių paslaugų šakos kolektyvinės sutarties įsipareigojimams įgyvendinti</t>
  </si>
  <si>
    <t>Dotacija iš valstybės biudžeto lėšų, skirtų iš Neįgaliųjų reikalų departamento prie Socialinės apsaugos ir darbo ministerijos asmeninei pagalbai teikti</t>
  </si>
  <si>
    <t>04 programa</t>
  </si>
  <si>
    <t>05 programa</t>
  </si>
  <si>
    <t>08 programa</t>
  </si>
  <si>
    <t>10 programa</t>
  </si>
  <si>
    <t>2.4 priedas</t>
  </si>
  <si>
    <t xml:space="preserve">Visagino savivaldybės 2022 m. aplinkos apsaugos rėmimo specialiosios programos biudžeto išlaidos  </t>
  </si>
  <si>
    <t>Skirta lėšų Iš viso</t>
  </si>
  <si>
    <t>Iš jų 2021 m. nepanaudota pajamų dalis</t>
  </si>
  <si>
    <t>savivaldybės visuomenės sveikatos rėmimo specialiosios programos priemonėms vykdyti</t>
  </si>
  <si>
    <t>aplinkos apsaugos rėmimo specialiosios programos priemonėms vykdyti</t>
  </si>
  <si>
    <t>savivaldybės sveikatos programoms vykdyti</t>
  </si>
  <si>
    <t>Iš jų pagal programas:</t>
  </si>
  <si>
    <t>2.5 priedas</t>
  </si>
  <si>
    <t>Visagino savivaldybės 2022 m. lėšos iš Europos Sąjungos finansinės paramos lėšų</t>
  </si>
  <si>
    <t xml:space="preserve">Visagino savivaldybės administracijos direktorius </t>
  </si>
  <si>
    <t>Projektui „Paslaugų ir asmenų aptarnavimo kokybės gerinimas“ įgyvendinti</t>
  </si>
  <si>
    <t>Projektui „WiFi4EU Visagino savivaldybėje“ įgyvendinti</t>
  </si>
  <si>
    <t>Projektui „Neformaliojo vaikų švetimo paslaugų plėtra“ įgyvendinti</t>
  </si>
  <si>
    <t>Projektui  „Sportas kaip socialinio bendravimo forma su rizikos grupės paaugliais“ (LLI-402 „Sports for Social Inclusion of At-risk Teenagers“ (risk-free))“ įgyvendinti</t>
  </si>
  <si>
    <t>Projektui „Visagino rekreacijos paslaugų centro sporto salės remontas ir pritaikymas neįgaliesiems“ įgyvendinti</t>
  </si>
  <si>
    <t>Projektui „Bendrabučio tipo pastato, esančio Kosmoso g. 28, Visagine, patalpų pritaikymas socialinio būsto įrengimui“ įgyvendinti</t>
  </si>
  <si>
    <t>Projektui „Bendruomeninių vaikų globos namų įkūrimas ir vaikų dienos centrų tinklo plėtra Visagino savivaldybėje“ įgyvendinti</t>
  </si>
  <si>
    <t>Projektui „Bendruomeniniai šeimos namai“ įgyvendinti</t>
  </si>
  <si>
    <t>Projektui „Rokiškio rajono, Kupiškio rajono ir Visagino savivaldybių mokyklų sveikatos kabinetų atnaujinimas“ įgyvendinti</t>
  </si>
  <si>
    <t>Projekto „Priklausomybės ligų profilaktikos, diagnostikos ir gydymo kokybės ir prieinamumo gerinimas Visagino savivaldybėje“ įgyvendinimas</t>
  </si>
  <si>
    <t>Projektui „Komunalinių atliekų tvarkymo infrastruktūros plėtra Visagino savivaldybėje“ įgyvendinti</t>
  </si>
  <si>
    <t>Projektui „Apleistų / avarinių pastatų nugriovimas ir teritorijos valymas, regeneruojant buvusį karinį miestelį ir pritaikant kompleksą inovatyviai pramonei vystyti - SMART PARK įkūrimui“ įgyvendinti</t>
  </si>
  <si>
    <t>Projektui „Transformacija iš griuvėsių į gražią erdvę“  (LLI-386 „Transformations from Slum to Chic“ (trans-form))“ įgyvendinti</t>
  </si>
  <si>
    <t>Projektui „Investicijų programos „Visagino darnios ateities kūrimas“ parengimas (angl. investment concept „Creating a sustainable future in Visaginas“)“ įgyvendinti</t>
  </si>
  <si>
    <t>Projektui „Visagino inovacijų klasterio įkūrimas“ įgyvendinti</t>
  </si>
  <si>
    <t>Projektui „Visagino miesto energinio efektyvumo didinimo daugiabučiuose pastatuose programa – „Visagino EnerVizija“ įgyvendinti</t>
  </si>
  <si>
    <t>Projektui „Vietinės reikšmės kelio Visagino–Parko–Sedulinos al. kvartale rekonstravimas ir kompleksinis aplinkos sutvarkymas“ įgyvendinti</t>
  </si>
  <si>
    <t>Projektui „Darnaus judumo infrastruktūros įrengimas Visagino mieste“ įgyvendinti</t>
  </si>
  <si>
    <t>Projektui „Sedulinos alėjos atkarpos nuo Parko g. iki Visagino g. rekonstrukcija“ įgyvendinti</t>
  </si>
  <si>
    <t>Projektui „Autobusų stoties su turizmo informacijos centru statyba Visagino savivaldybėje“ įgyvendinti</t>
  </si>
  <si>
    <t>Projektui „Jungties nuo geležinkelio stoties iki Visagino miesto centro įrengimas, kartu su etno kultūrų parku įrengimas“
įgyvendinti</t>
  </si>
  <si>
    <t>Projektui „Visagino miesto centralizuotos šildymo sistemos modernizavimas ir atnaujinimas“ įgyvendinti</t>
  </si>
  <si>
    <t>Visagino miesto energetinio efektyvumo didinimo daugiabučiuose namuose programai „Visagino enervizija“ įgyvendinti</t>
  </si>
  <si>
    <t>Projektui „Visagino savivaldybės viešųjų pastatų energijos efektyvumo didinimas (IV etapas)“ įgyvendinti</t>
  </si>
  <si>
    <t>Projektui „Socialinių paslaugų įvairovės plėtra bei jų kokybės gerinimas Lietuvos ir Latvijos specialiųjų poreikų vaikams “ įgyvendinti</t>
  </si>
  <si>
    <t>Projektui „Draugystės progimnazijos dalyvavimas 09.2.1. ESFA-V-719 priemonėje „Kokybės krepšelis“ įgyvendinti</t>
  </si>
  <si>
    <t>Projektui „Virtualios ikimokyklinio ugdymo aplinkos formavimo pilotinis modelis“ įgyvendinti</t>
  </si>
  <si>
    <t>Projektui „Menų gaudyklė. Kūrybinių rezidencijų tinklo išvystymas Ežerų krašto regione“  įgyvendinti</t>
  </si>
  <si>
    <t>Projektui „Integralios pagalbos namuose teikimo modelio sukūrimas Visagino savivaldybėje“  įgyvendinti</t>
  </si>
  <si>
    <t>Projektui „Vaikų gerovės ir saugumo didinimas, paslaugų šeimai, globėjams (rūpintojams) kokybės didinimas bei prieinamumo plėtra“  įgyvendinti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</si>
</sst>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33" x14ac:knownFonts="1">
    <font>
      <sz val="10"/>
      <name val="Arial"/>
      <charset val="186"/>
    </font>
    <font>
      <sz val="9"/>
      <name val="Times New Roman"/>
      <family val="1"/>
    </font>
    <font>
      <b/>
      <sz val="12"/>
      <name val="Times New Roman"/>
      <family val="1"/>
    </font>
    <font>
      <b/>
      <sz val="9"/>
      <name val="Times New Roman"/>
      <family val="1"/>
    </font>
    <font>
      <sz val="10"/>
      <name val="Times New Roman"/>
      <family val="1"/>
    </font>
    <font>
      <b/>
      <sz val="10"/>
      <name val="Times New Roman"/>
      <family val="1"/>
    </font>
    <font>
      <sz val="10"/>
      <name val="Times New Roman"/>
      <family val="1"/>
      <charset val="186"/>
    </font>
    <font>
      <b/>
      <sz val="10"/>
      <name val="Times New Roman"/>
      <family val="1"/>
      <charset val="186"/>
    </font>
    <font>
      <b/>
      <i/>
      <sz val="10"/>
      <name val="Times New Roman"/>
      <family val="1"/>
      <charset val="186"/>
    </font>
    <font>
      <b/>
      <sz val="8"/>
      <name val="Times New Roman"/>
      <family val="1"/>
    </font>
    <font>
      <i/>
      <sz val="10"/>
      <name val="Times New Roman"/>
      <family val="1"/>
    </font>
    <font>
      <i/>
      <sz val="10"/>
      <name val="Times New Roman"/>
      <family val="1"/>
      <charset val="186"/>
    </font>
    <font>
      <b/>
      <i/>
      <sz val="10"/>
      <name val="Times New Roman"/>
      <family val="1"/>
    </font>
    <font>
      <sz val="10"/>
      <name val="Arial"/>
      <family val="2"/>
      <charset val="186"/>
    </font>
    <font>
      <b/>
      <u/>
      <sz val="9"/>
      <name val="Times New Roman"/>
      <family val="1"/>
    </font>
    <font>
      <i/>
      <sz val="9"/>
      <name val="Times New Roman"/>
      <family val="1"/>
      <charset val="186"/>
    </font>
    <font>
      <sz val="9"/>
      <name val="Times New Roman"/>
      <family val="1"/>
      <charset val="186"/>
    </font>
    <font>
      <b/>
      <sz val="12"/>
      <name val="Times New Roman"/>
      <family val="1"/>
      <charset val="186"/>
    </font>
    <font>
      <b/>
      <sz val="8"/>
      <name val="Times New Roman"/>
      <family val="1"/>
      <charset val="186"/>
    </font>
    <font>
      <b/>
      <sz val="9"/>
      <name val="Times New Roman"/>
      <family val="1"/>
      <charset val="186"/>
    </font>
    <font>
      <sz val="10"/>
      <color rgb="FFFF0000"/>
      <name val="Times New Roman"/>
      <family val="1"/>
      <charset val="186"/>
    </font>
    <font>
      <sz val="9"/>
      <color rgb="FFFF0000"/>
      <name val="Times New Roman"/>
      <family val="1"/>
      <charset val="186"/>
    </font>
    <font>
      <sz val="10"/>
      <color rgb="FFFF0000"/>
      <name val="Arial"/>
      <family val="2"/>
      <charset val="186"/>
    </font>
    <font>
      <b/>
      <sz val="10"/>
      <name val="Arial"/>
      <family val="2"/>
      <charset val="186"/>
    </font>
    <font>
      <i/>
      <sz val="10"/>
      <name val="Arial"/>
      <family val="2"/>
      <charset val="186"/>
    </font>
    <font>
      <sz val="12"/>
      <name val="Times New Roman"/>
      <family val="1"/>
      <charset val="186"/>
    </font>
    <font>
      <sz val="9"/>
      <color rgb="FFFF0000"/>
      <name val="Times New Roman"/>
      <family val="1"/>
    </font>
    <font>
      <b/>
      <sz val="11"/>
      <name val="Times New Roman"/>
      <family val="1"/>
      <charset val="186"/>
    </font>
    <font>
      <i/>
      <sz val="12"/>
      <name val="Times New Roman"/>
      <family val="1"/>
    </font>
    <font>
      <i/>
      <sz val="9"/>
      <color rgb="FFFF0000"/>
      <name val="Times New Roman"/>
      <family val="1"/>
      <charset val="186"/>
    </font>
    <font>
      <sz val="8"/>
      <name val="Arial"/>
      <family val="2"/>
      <charset val="186"/>
    </font>
    <font>
      <b/>
      <sz val="10"/>
      <color rgb="FFFF0000"/>
      <name val="Arial"/>
      <family val="2"/>
      <charset val="186"/>
    </font>
    <font>
      <sz val="8"/>
      <color rgb="FFFF0000"/>
      <name val="Arial"/>
      <family val="2"/>
      <charset val="186"/>
    </font>
  </fonts>
  <fills count="4">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s>
  <borders count="65">
    <border>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protection locked="0"/>
    </xf>
  </cellStyleXfs>
  <cellXfs count="736">
    <xf numFmtId="0" fontId="0" fillId="0" borderId="0" xfId="0">
      <protection locked="0"/>
    </xf>
    <xf numFmtId="0" fontId="1" fillId="0" borderId="0" xfId="0" applyFont="1">
      <protection locked="0"/>
    </xf>
    <xf numFmtId="0" fontId="3" fillId="0" borderId="0" xfId="0" applyFont="1" applyAlignment="1">
      <alignment horizontal="center" vertical="center" wrapText="1"/>
      <protection locked="0"/>
    </xf>
    <xf numFmtId="0" fontId="3" fillId="0" borderId="0" xfId="0" applyFont="1" applyAlignment="1">
      <alignment horizontal="center" vertical="center"/>
      <protection locked="0"/>
    </xf>
    <xf numFmtId="0" fontId="3" fillId="0" borderId="0" xfId="0" applyFont="1">
      <protection locked="0"/>
    </xf>
    <xf numFmtId="0" fontId="5" fillId="0" borderId="0" xfId="0" applyFont="1">
      <protection locked="0"/>
    </xf>
    <xf numFmtId="164" fontId="4" fillId="0" borderId="1" xfId="0" applyNumberFormat="1" applyFont="1" applyBorder="1" applyAlignment="1">
      <alignment wrapText="1"/>
      <protection locked="0"/>
    </xf>
    <xf numFmtId="165" fontId="1" fillId="0" borderId="0" xfId="0" applyNumberFormat="1" applyFont="1">
      <protection locked="0"/>
    </xf>
    <xf numFmtId="0" fontId="1" fillId="0" borderId="0" xfId="0" applyFont="1" applyAlignment="1">
      <alignment horizontal="center"/>
      <protection locked="0"/>
    </xf>
    <xf numFmtId="164" fontId="1" fillId="0" borderId="0" xfId="0" applyNumberFormat="1" applyFont="1">
      <protection locked="0"/>
    </xf>
    <xf numFmtId="0" fontId="1" fillId="0" borderId="0" xfId="0" applyFont="1" applyAlignment="1">
      <alignment horizontal="center" vertical="center"/>
      <protection locked="0"/>
    </xf>
    <xf numFmtId="165" fontId="1" fillId="0" borderId="0" xfId="0" applyNumberFormat="1" applyFont="1" applyAlignment="1">
      <alignment horizontal="right"/>
      <protection locked="0"/>
    </xf>
    <xf numFmtId="164" fontId="4" fillId="0" borderId="6" xfId="0" applyNumberFormat="1" applyFont="1" applyBorder="1" applyAlignment="1">
      <alignment wrapText="1"/>
      <protection locked="0"/>
    </xf>
    <xf numFmtId="0" fontId="3" fillId="0" borderId="0" xfId="0" applyFont="1" applyAlignment="1">
      <alignment vertical="center"/>
      <protection locked="0"/>
    </xf>
    <xf numFmtId="0" fontId="1" fillId="0" borderId="29" xfId="0" applyFont="1" applyBorder="1" applyAlignment="1">
      <alignment horizontal="center" vertical="center"/>
      <protection locked="0"/>
    </xf>
    <xf numFmtId="0" fontId="1" fillId="0" borderId="32" xfId="0" applyFont="1" applyBorder="1" applyAlignment="1">
      <alignment vertical="top"/>
      <protection locked="0"/>
    </xf>
    <xf numFmtId="0" fontId="4" fillId="0" borderId="30" xfId="0" applyFont="1" applyBorder="1" applyAlignment="1">
      <alignment vertical="top"/>
      <protection locked="0"/>
    </xf>
    <xf numFmtId="0" fontId="1" fillId="0" borderId="6" xfId="0" applyFont="1" applyBorder="1" applyAlignment="1">
      <alignment vertical="top"/>
      <protection locked="0"/>
    </xf>
    <xf numFmtId="0" fontId="1" fillId="0" borderId="1" xfId="0" applyFont="1" applyBorder="1" applyAlignment="1">
      <alignment vertical="top"/>
      <protection locked="0"/>
    </xf>
    <xf numFmtId="0" fontId="1" fillId="0" borderId="7" xfId="0" applyFont="1" applyBorder="1" applyAlignment="1">
      <alignment vertical="top"/>
      <protection locked="0"/>
    </xf>
    <xf numFmtId="0" fontId="4" fillId="0" borderId="40" xfId="0" applyFont="1" applyBorder="1" applyAlignment="1">
      <alignment horizontal="left" vertical="center"/>
      <protection locked="0"/>
    </xf>
    <xf numFmtId="0" fontId="5" fillId="0" borderId="31" xfId="0" applyFont="1" applyBorder="1" applyAlignment="1">
      <alignment horizontal="center"/>
      <protection locked="0"/>
    </xf>
    <xf numFmtId="0" fontId="5" fillId="0" borderId="1" xfId="0" applyFont="1" applyBorder="1" applyAlignment="1">
      <alignment horizontal="center"/>
      <protection locked="0"/>
    </xf>
    <xf numFmtId="0" fontId="5" fillId="0" borderId="48" xfId="0" applyFont="1" applyBorder="1" applyAlignment="1">
      <alignment horizontal="center"/>
      <protection locked="0"/>
    </xf>
    <xf numFmtId="164" fontId="5" fillId="0" borderId="44" xfId="0" applyNumberFormat="1" applyFont="1" applyBorder="1">
      <protection locked="0"/>
    </xf>
    <xf numFmtId="164" fontId="10" fillId="0" borderId="6" xfId="0" applyNumberFormat="1" applyFont="1" applyBorder="1" applyAlignment="1">
      <alignment horizontal="left" vertical="center" wrapText="1"/>
      <protection locked="0"/>
    </xf>
    <xf numFmtId="0" fontId="5" fillId="0" borderId="16" xfId="0" applyFont="1" applyBorder="1" applyAlignment="1">
      <alignment horizontal="center"/>
      <protection locked="0"/>
    </xf>
    <xf numFmtId="0" fontId="1" fillId="0" borderId="5" xfId="0" applyFont="1" applyBorder="1" applyAlignment="1">
      <alignment horizontal="center" vertical="center" wrapText="1"/>
      <protection locked="0"/>
    </xf>
    <xf numFmtId="1" fontId="1" fillId="0" borderId="7" xfId="0" applyNumberFormat="1" applyFont="1" applyBorder="1" applyAlignment="1">
      <alignment horizontal="center" vertical="center" wrapText="1"/>
      <protection locked="0"/>
    </xf>
    <xf numFmtId="1" fontId="1" fillId="0" borderId="12" xfId="0" applyNumberFormat="1" applyFont="1" applyBorder="1" applyAlignment="1">
      <alignment horizontal="center" vertical="center"/>
      <protection locked="0"/>
    </xf>
    <xf numFmtId="1" fontId="1" fillId="0" borderId="9" xfId="0" applyNumberFormat="1" applyFont="1" applyBorder="1" applyAlignment="1">
      <alignment horizontal="center" vertical="center"/>
      <protection locked="0"/>
    </xf>
    <xf numFmtId="1" fontId="1" fillId="0" borderId="8" xfId="0" applyNumberFormat="1" applyFont="1" applyBorder="1" applyAlignment="1">
      <alignment horizontal="center" vertical="center" wrapText="1"/>
      <protection locked="0"/>
    </xf>
    <xf numFmtId="0" fontId="1" fillId="0" borderId="15" xfId="0" applyFont="1" applyBorder="1" applyAlignment="1">
      <alignment horizontal="center" vertical="center" wrapText="1"/>
      <protection locked="0"/>
    </xf>
    <xf numFmtId="164" fontId="5" fillId="0" borderId="1" xfId="0" applyNumberFormat="1" applyFont="1" applyBorder="1" applyAlignment="1">
      <alignment wrapText="1"/>
      <protection locked="0"/>
    </xf>
    <xf numFmtId="49" fontId="4" fillId="0" borderId="6" xfId="0" applyNumberFormat="1" applyFont="1" applyBorder="1" applyAlignment="1">
      <alignment horizontal="center" vertical="center"/>
      <protection locked="0"/>
    </xf>
    <xf numFmtId="0" fontId="1" fillId="0" borderId="6" xfId="0" applyFont="1" applyBorder="1" applyAlignment="1">
      <alignment horizontal="center" vertical="center" wrapText="1"/>
      <protection locked="0"/>
    </xf>
    <xf numFmtId="49" fontId="4" fillId="0" borderId="6" xfId="0" applyNumberFormat="1" applyFont="1" applyBorder="1" applyAlignment="1">
      <alignment horizontal="center"/>
      <protection locked="0"/>
    </xf>
    <xf numFmtId="164" fontId="10" fillId="0" borderId="1" xfId="0" applyNumberFormat="1" applyFont="1" applyBorder="1" applyAlignment="1">
      <alignment wrapText="1"/>
      <protection locked="0"/>
    </xf>
    <xf numFmtId="0" fontId="1" fillId="0" borderId="15" xfId="0" applyFont="1" applyBorder="1" applyAlignment="1">
      <alignment horizontal="center"/>
      <protection locked="0"/>
    </xf>
    <xf numFmtId="164" fontId="5" fillId="0" borderId="6" xfId="0" applyNumberFormat="1" applyFont="1" applyBorder="1" applyAlignment="1">
      <alignment wrapText="1"/>
      <protection locked="0"/>
    </xf>
    <xf numFmtId="0" fontId="1" fillId="0" borderId="6" xfId="0" applyFont="1" applyBorder="1" applyAlignment="1">
      <alignment horizontal="center"/>
      <protection locked="0"/>
    </xf>
    <xf numFmtId="0" fontId="1" fillId="0" borderId="31" xfId="0" applyFont="1" applyBorder="1" applyAlignment="1">
      <alignment horizontal="center"/>
      <protection locked="0"/>
    </xf>
    <xf numFmtId="49" fontId="4" fillId="0" borderId="3" xfId="0" applyNumberFormat="1" applyFont="1" applyBorder="1" applyAlignment="1">
      <alignment horizontal="center" vertical="center"/>
      <protection locked="0"/>
    </xf>
    <xf numFmtId="164" fontId="10" fillId="0" borderId="3" xfId="0" applyNumberFormat="1" applyFont="1" applyBorder="1" applyAlignment="1">
      <alignment vertical="center" wrapText="1"/>
      <protection locked="0"/>
    </xf>
    <xf numFmtId="49" fontId="4" fillId="0" borderId="6" xfId="0" applyNumberFormat="1" applyFont="1" applyBorder="1" applyAlignment="1">
      <alignment horizontal="center" vertical="center" wrapText="1"/>
      <protection locked="0"/>
    </xf>
    <xf numFmtId="49" fontId="10" fillId="0" borderId="6" xfId="0" applyNumberFormat="1" applyFont="1" applyBorder="1" applyAlignment="1">
      <alignment horizontal="center" vertical="center"/>
      <protection locked="0"/>
    </xf>
    <xf numFmtId="0" fontId="1" fillId="0" borderId="3" xfId="0" applyFont="1" applyBorder="1" applyAlignment="1">
      <alignment horizontal="center"/>
      <protection locked="0"/>
    </xf>
    <xf numFmtId="0" fontId="3" fillId="0" borderId="3" xfId="0" applyFont="1" applyBorder="1" applyAlignment="1">
      <alignment horizontal="center"/>
      <protection locked="0"/>
    </xf>
    <xf numFmtId="49" fontId="4" fillId="0" borderId="1" xfId="0" applyNumberFormat="1" applyFont="1" applyBorder="1" applyAlignment="1">
      <alignment horizontal="center" vertical="center" wrapText="1"/>
      <protection locked="0"/>
    </xf>
    <xf numFmtId="0" fontId="1" fillId="0" borderId="1" xfId="0" applyFont="1" applyBorder="1" applyAlignment="1">
      <alignment horizontal="center"/>
      <protection locked="0"/>
    </xf>
    <xf numFmtId="0" fontId="1" fillId="0" borderId="14" xfId="0" applyFont="1" applyBorder="1" applyAlignment="1">
      <alignment horizontal="center"/>
      <protection locked="0"/>
    </xf>
    <xf numFmtId="0" fontId="3" fillId="0" borderId="1" xfId="0" applyFont="1" applyBorder="1" applyAlignment="1">
      <alignment horizontal="center"/>
      <protection locked="0"/>
    </xf>
    <xf numFmtId="164" fontId="10" fillId="0" borderId="1" xfId="0" applyNumberFormat="1" applyFont="1" applyBorder="1" applyAlignment="1">
      <alignment horizontal="left" vertical="center" wrapText="1"/>
      <protection locked="0"/>
    </xf>
    <xf numFmtId="164" fontId="5" fillId="0" borderId="16" xfId="0" applyNumberFormat="1" applyFont="1" applyBorder="1" applyAlignment="1">
      <alignment wrapText="1"/>
      <protection locked="0"/>
    </xf>
    <xf numFmtId="49" fontId="1" fillId="0" borderId="15" xfId="0" applyNumberFormat="1" applyFont="1" applyBorder="1" applyAlignment="1">
      <alignment horizontal="center"/>
      <protection locked="0"/>
    </xf>
    <xf numFmtId="164" fontId="10" fillId="0" borderId="3" xfId="0" applyNumberFormat="1" applyFont="1" applyBorder="1" applyAlignment="1">
      <alignment wrapText="1"/>
      <protection locked="0"/>
    </xf>
    <xf numFmtId="164" fontId="5" fillId="0" borderId="1" xfId="0" applyNumberFormat="1" applyFont="1" applyBorder="1" applyAlignment="1">
      <alignment horizontal="left" wrapText="1"/>
      <protection locked="0"/>
    </xf>
    <xf numFmtId="49" fontId="4" fillId="0" borderId="1" xfId="0" applyNumberFormat="1" applyFont="1" applyBorder="1" applyAlignment="1">
      <alignment horizontal="center" wrapText="1"/>
      <protection locked="0"/>
    </xf>
    <xf numFmtId="49" fontId="1" fillId="0" borderId="3" xfId="0" applyNumberFormat="1" applyFont="1" applyBorder="1" applyAlignment="1">
      <alignment horizontal="center"/>
      <protection locked="0"/>
    </xf>
    <xf numFmtId="0" fontId="3" fillId="0" borderId="14" xfId="0" applyFont="1" applyBorder="1" applyAlignment="1">
      <alignment horizontal="center"/>
      <protection locked="0"/>
    </xf>
    <xf numFmtId="49" fontId="4" fillId="0" borderId="31" xfId="0" applyNumberFormat="1" applyFont="1" applyBorder="1" applyAlignment="1">
      <alignment horizontal="center"/>
      <protection locked="0"/>
    </xf>
    <xf numFmtId="164" fontId="10" fillId="0" borderId="16" xfId="0" applyNumberFormat="1" applyFont="1" applyBorder="1" applyAlignment="1">
      <alignment wrapText="1"/>
      <protection locked="0"/>
    </xf>
    <xf numFmtId="49" fontId="4" fillId="0" borderId="31" xfId="0" applyNumberFormat="1" applyFont="1" applyBorder="1" applyAlignment="1">
      <alignment horizontal="center" vertical="center"/>
      <protection locked="0"/>
    </xf>
    <xf numFmtId="164" fontId="4" fillId="0" borderId="40" xfId="0" applyNumberFormat="1" applyFont="1" applyBorder="1">
      <protection locked="0"/>
    </xf>
    <xf numFmtId="164" fontId="5" fillId="0" borderId="3" xfId="0" applyNumberFormat="1" applyFont="1" applyBorder="1" applyAlignment="1">
      <alignment horizontal="center" vertical="center"/>
      <protection locked="0"/>
    </xf>
    <xf numFmtId="164" fontId="4" fillId="0" borderId="54" xfId="0" applyNumberFormat="1" applyFont="1" applyBorder="1">
      <protection locked="0"/>
    </xf>
    <xf numFmtId="164" fontId="5" fillId="0" borderId="14" xfId="0" applyNumberFormat="1" applyFont="1" applyBorder="1" applyAlignment="1">
      <alignment horizontal="center" vertical="center"/>
      <protection locked="0"/>
    </xf>
    <xf numFmtId="164" fontId="10" fillId="0" borderId="17" xfId="0" applyNumberFormat="1" applyFont="1" applyBorder="1" applyAlignment="1">
      <alignment vertical="center" wrapText="1"/>
      <protection locked="0"/>
    </xf>
    <xf numFmtId="0" fontId="10" fillId="0" borderId="17" xfId="0" applyFont="1" applyBorder="1" applyAlignment="1">
      <alignment vertical="center"/>
      <protection locked="0"/>
    </xf>
    <xf numFmtId="0" fontId="10" fillId="0" borderId="17" xfId="0" applyFont="1" applyBorder="1" applyAlignment="1">
      <alignment vertical="center" wrapText="1"/>
      <protection locked="0"/>
    </xf>
    <xf numFmtId="0" fontId="10" fillId="0" borderId="42" xfId="0" applyFont="1" applyBorder="1" applyAlignment="1">
      <alignment vertical="center"/>
      <protection locked="0"/>
    </xf>
    <xf numFmtId="164" fontId="5" fillId="0" borderId="48" xfId="0" applyNumberFormat="1" applyFont="1" applyBorder="1" applyAlignment="1">
      <alignment horizontal="center" vertical="center"/>
      <protection locked="0"/>
    </xf>
    <xf numFmtId="1" fontId="1" fillId="0" borderId="34" xfId="0" applyNumberFormat="1" applyFont="1" applyBorder="1" applyAlignment="1">
      <alignment horizontal="center" vertical="center"/>
      <protection locked="0"/>
    </xf>
    <xf numFmtId="0" fontId="5" fillId="0" borderId="6" xfId="0" applyFont="1" applyBorder="1" applyAlignment="1">
      <alignment horizontal="center"/>
      <protection locked="0"/>
    </xf>
    <xf numFmtId="164" fontId="4" fillId="0" borderId="4" xfId="0" applyNumberFormat="1" applyFont="1" applyBorder="1">
      <protection locked="0"/>
    </xf>
    <xf numFmtId="164" fontId="5" fillId="0" borderId="15" xfId="0" applyNumberFormat="1" applyFont="1" applyBorder="1" applyAlignment="1">
      <alignment horizontal="center" vertical="center"/>
      <protection locked="0"/>
    </xf>
    <xf numFmtId="0" fontId="5" fillId="0" borderId="44" xfId="0" applyFont="1" applyBorder="1" applyAlignment="1">
      <alignment horizontal="center"/>
      <protection locked="0"/>
    </xf>
    <xf numFmtId="165" fontId="6" fillId="0" borderId="40" xfId="0" applyNumberFormat="1" applyFont="1" applyBorder="1" applyAlignment="1" applyProtection="1">
      <alignment horizontal="center" vertical="center"/>
    </xf>
    <xf numFmtId="165" fontId="6" fillId="0" borderId="21" xfId="0" applyNumberFormat="1" applyFont="1" applyBorder="1" applyAlignment="1" applyProtection="1">
      <alignment horizontal="center" vertical="center"/>
    </xf>
    <xf numFmtId="165" fontId="6" fillId="0" borderId="22" xfId="0" applyNumberFormat="1" applyFont="1" applyBorder="1" applyAlignment="1" applyProtection="1">
      <alignment horizontal="center" vertical="center"/>
    </xf>
    <xf numFmtId="165" fontId="6" fillId="0" borderId="23" xfId="0" applyNumberFormat="1" applyFont="1" applyBorder="1" applyAlignment="1" applyProtection="1">
      <alignment horizontal="center" vertical="center"/>
    </xf>
    <xf numFmtId="165" fontId="6" fillId="0" borderId="57" xfId="0" applyNumberFormat="1" applyFont="1" applyBorder="1" applyAlignment="1" applyProtection="1">
      <alignment horizontal="center" vertical="center"/>
    </xf>
    <xf numFmtId="165" fontId="6" fillId="0" borderId="37" xfId="0" applyNumberFormat="1" applyFont="1" applyBorder="1" applyAlignment="1" applyProtection="1">
      <alignment horizontal="center" vertical="center"/>
    </xf>
    <xf numFmtId="165" fontId="7" fillId="0" borderId="40" xfId="0" applyNumberFormat="1" applyFont="1" applyBorder="1" applyAlignment="1" applyProtection="1">
      <alignment horizontal="center" vertical="center"/>
    </xf>
    <xf numFmtId="165" fontId="7" fillId="0" borderId="21" xfId="0" applyNumberFormat="1" applyFont="1" applyBorder="1" applyAlignment="1" applyProtection="1">
      <alignment horizontal="center" vertical="center"/>
    </xf>
    <xf numFmtId="165" fontId="7" fillId="0" borderId="22" xfId="0" applyNumberFormat="1" applyFont="1" applyBorder="1" applyAlignment="1" applyProtection="1">
      <alignment horizontal="center" vertical="center"/>
    </xf>
    <xf numFmtId="165" fontId="7" fillId="0" borderId="23" xfId="0" applyNumberFormat="1" applyFont="1" applyBorder="1" applyAlignment="1" applyProtection="1">
      <alignment horizontal="center" vertical="center"/>
    </xf>
    <xf numFmtId="165" fontId="7" fillId="0" borderId="55" xfId="0" applyNumberFormat="1" applyFont="1" applyBorder="1" applyAlignment="1" applyProtection="1">
      <alignment horizontal="center" vertical="center"/>
    </xf>
    <xf numFmtId="165" fontId="7" fillId="0" borderId="52" xfId="0" applyNumberFormat="1" applyFont="1" applyBorder="1" applyAlignment="1" applyProtection="1">
      <alignment horizontal="center" vertical="center"/>
    </xf>
    <xf numFmtId="0" fontId="4" fillId="0" borderId="33" xfId="0" applyFont="1" applyBorder="1" applyAlignment="1">
      <alignment horizontal="left" vertical="center"/>
      <protection locked="0"/>
    </xf>
    <xf numFmtId="1" fontId="1" fillId="0" borderId="5" xfId="0" applyNumberFormat="1" applyFont="1" applyBorder="1" applyAlignment="1">
      <alignment horizontal="center" vertical="center" wrapText="1"/>
      <protection locked="0"/>
    </xf>
    <xf numFmtId="49" fontId="5" fillId="0" borderId="15" xfId="0" applyNumberFormat="1" applyFont="1" applyBorder="1" applyAlignment="1">
      <alignment horizontal="center" vertical="center"/>
      <protection locked="0"/>
    </xf>
    <xf numFmtId="49" fontId="10" fillId="0" borderId="15" xfId="0" applyNumberFormat="1" applyFont="1" applyBorder="1" applyAlignment="1">
      <alignment horizontal="center" vertical="center"/>
      <protection locked="0"/>
    </xf>
    <xf numFmtId="49" fontId="4" fillId="0" borderId="3" xfId="0" applyNumberFormat="1" applyFont="1" applyBorder="1" applyAlignment="1">
      <alignment horizontal="center" vertical="center" wrapText="1"/>
      <protection locked="0"/>
    </xf>
    <xf numFmtId="49" fontId="5" fillId="0" borderId="3" xfId="0" applyNumberFormat="1" applyFont="1" applyBorder="1" applyAlignment="1">
      <alignment horizontal="center" vertical="center" wrapText="1"/>
      <protection locked="0"/>
    </xf>
    <xf numFmtId="49" fontId="4" fillId="0" borderId="3" xfId="0" applyNumberFormat="1" applyFont="1" applyBorder="1" applyAlignment="1">
      <alignment horizontal="center" wrapText="1"/>
      <protection locked="0"/>
    </xf>
    <xf numFmtId="49" fontId="4" fillId="0" borderId="14" xfId="0" applyNumberFormat="1" applyFont="1" applyBorder="1" applyAlignment="1">
      <alignment horizontal="center" vertical="center" wrapText="1"/>
      <protection locked="0"/>
    </xf>
    <xf numFmtId="164" fontId="5" fillId="0" borderId="43" xfId="0" applyNumberFormat="1" applyFont="1" applyBorder="1" applyAlignment="1">
      <alignment horizontal="center" vertical="center"/>
      <protection locked="0"/>
    </xf>
    <xf numFmtId="164" fontId="5" fillId="0" borderId="17" xfId="0" applyNumberFormat="1" applyFont="1" applyBorder="1" applyAlignment="1">
      <alignment horizontal="center" vertical="center"/>
      <protection locked="0"/>
    </xf>
    <xf numFmtId="164" fontId="5" fillId="0" borderId="56" xfId="0" applyNumberFormat="1" applyFont="1" applyBorder="1" applyAlignment="1">
      <alignment horizontal="center" vertical="center"/>
      <protection locked="0"/>
    </xf>
    <xf numFmtId="0" fontId="1" fillId="0" borderId="39" xfId="0" applyFont="1" applyBorder="1" applyAlignment="1">
      <alignment horizontal="center" vertical="center"/>
      <protection locked="0"/>
    </xf>
    <xf numFmtId="165" fontId="6" fillId="0" borderId="21" xfId="0" applyNumberFormat="1" applyFont="1" applyFill="1" applyBorder="1" applyAlignment="1" applyProtection="1">
      <alignment horizontal="center" vertical="center"/>
    </xf>
    <xf numFmtId="165" fontId="6" fillId="0" borderId="40" xfId="0" applyNumberFormat="1" applyFont="1" applyFill="1" applyBorder="1" applyAlignment="1" applyProtection="1">
      <alignment horizontal="center" vertical="center"/>
    </xf>
    <xf numFmtId="164" fontId="10" fillId="0" borderId="3" xfId="0" applyNumberFormat="1" applyFont="1" applyBorder="1" applyAlignment="1">
      <alignment horizontal="left" vertical="center" wrapText="1"/>
      <protection locked="0"/>
    </xf>
    <xf numFmtId="49" fontId="5" fillId="0" borderId="6" xfId="0" applyNumberFormat="1" applyFont="1" applyBorder="1" applyAlignment="1">
      <alignment horizontal="center" vertical="center"/>
      <protection locked="0"/>
    </xf>
    <xf numFmtId="165" fontId="4" fillId="0" borderId="40" xfId="0" applyNumberFormat="1" applyFont="1" applyBorder="1" applyAlignment="1" applyProtection="1">
      <alignment horizontal="center" vertical="center"/>
    </xf>
    <xf numFmtId="165" fontId="4" fillId="0" borderId="21" xfId="0" applyNumberFormat="1" applyFont="1" applyBorder="1" applyAlignment="1" applyProtection="1">
      <alignment horizontal="center" vertical="center"/>
    </xf>
    <xf numFmtId="165" fontId="4" fillId="0" borderId="22" xfId="0" applyNumberFormat="1" applyFont="1" applyBorder="1" applyAlignment="1" applyProtection="1">
      <alignment horizontal="center" vertical="center"/>
    </xf>
    <xf numFmtId="165" fontId="4" fillId="0" borderId="23" xfId="0" applyNumberFormat="1" applyFont="1" applyBorder="1" applyAlignment="1" applyProtection="1">
      <alignment horizontal="center" vertical="center"/>
    </xf>
    <xf numFmtId="164" fontId="12" fillId="0" borderId="1" xfId="0" applyNumberFormat="1" applyFont="1" applyBorder="1" applyAlignment="1">
      <alignment wrapText="1"/>
      <protection locked="0"/>
    </xf>
    <xf numFmtId="49" fontId="12" fillId="0" borderId="6" xfId="0" applyNumberFormat="1" applyFont="1" applyBorder="1" applyAlignment="1">
      <alignment horizontal="center" vertical="center"/>
      <protection locked="0"/>
    </xf>
    <xf numFmtId="49" fontId="12" fillId="0" borderId="15" xfId="0" applyNumberFormat="1" applyFont="1" applyBorder="1" applyAlignment="1">
      <alignment horizontal="center" vertical="center"/>
      <protection locked="0"/>
    </xf>
    <xf numFmtId="164" fontId="12" fillId="0" borderId="1" xfId="0" applyNumberFormat="1" applyFont="1" applyFill="1" applyBorder="1" applyAlignment="1">
      <alignment wrapText="1"/>
      <protection locked="0"/>
    </xf>
    <xf numFmtId="164" fontId="12" fillId="0" borderId="6" xfId="0" applyNumberFormat="1" applyFont="1" applyBorder="1" applyAlignment="1">
      <alignment wrapText="1"/>
      <protection locked="0"/>
    </xf>
    <xf numFmtId="165" fontId="4" fillId="0" borderId="54" xfId="0" applyNumberFormat="1" applyFont="1" applyBorder="1" applyAlignment="1" applyProtection="1">
      <alignment horizontal="center" vertical="center"/>
    </xf>
    <xf numFmtId="165" fontId="4" fillId="0" borderId="57" xfId="0" applyNumberFormat="1" applyFont="1" applyBorder="1" applyAlignment="1" applyProtection="1">
      <alignment horizontal="center" vertical="center"/>
    </xf>
    <xf numFmtId="165" fontId="4" fillId="0" borderId="53" xfId="0" applyNumberFormat="1" applyFont="1" applyBorder="1" applyAlignment="1" applyProtection="1">
      <alignment horizontal="center" vertical="center"/>
    </xf>
    <xf numFmtId="165" fontId="4" fillId="0" borderId="37" xfId="0" applyNumberFormat="1" applyFont="1" applyBorder="1" applyAlignment="1" applyProtection="1">
      <alignment horizontal="center" vertical="center"/>
    </xf>
    <xf numFmtId="165" fontId="5" fillId="0" borderId="47" xfId="0" applyNumberFormat="1" applyFont="1" applyBorder="1" applyAlignment="1" applyProtection="1">
      <alignment horizontal="center" vertical="center"/>
    </xf>
    <xf numFmtId="165" fontId="5" fillId="0" borderId="55" xfId="0" applyNumberFormat="1" applyFont="1" applyBorder="1" applyAlignment="1" applyProtection="1">
      <alignment horizontal="center" vertical="center"/>
    </xf>
    <xf numFmtId="165" fontId="5" fillId="0" borderId="51" xfId="0" applyNumberFormat="1" applyFont="1" applyBorder="1" applyAlignment="1" applyProtection="1">
      <alignment horizontal="center" vertical="center"/>
    </xf>
    <xf numFmtId="165" fontId="5" fillId="0" borderId="52" xfId="0" applyNumberFormat="1" applyFont="1" applyBorder="1" applyAlignment="1" applyProtection="1">
      <alignment horizontal="center" vertical="center"/>
    </xf>
    <xf numFmtId="165" fontId="4" fillId="0" borderId="4" xfId="0" applyNumberFormat="1" applyFont="1" applyBorder="1" applyAlignment="1" applyProtection="1">
      <alignment horizontal="center" vertical="center"/>
    </xf>
    <xf numFmtId="165" fontId="4" fillId="0" borderId="18" xfId="0" applyNumberFormat="1" applyFont="1" applyBorder="1" applyAlignment="1" applyProtection="1">
      <alignment horizontal="center" vertical="center"/>
    </xf>
    <xf numFmtId="165" fontId="4" fillId="0" borderId="19" xfId="0" applyNumberFormat="1" applyFont="1" applyBorder="1" applyAlignment="1" applyProtection="1">
      <alignment horizontal="center" vertical="center"/>
    </xf>
    <xf numFmtId="165" fontId="4" fillId="0" borderId="20" xfId="0" applyNumberFormat="1" applyFont="1" applyBorder="1" applyAlignment="1" applyProtection="1">
      <alignment horizontal="center" vertical="center"/>
    </xf>
    <xf numFmtId="165" fontId="4" fillId="0" borderId="34" xfId="0" applyNumberFormat="1" applyFont="1" applyBorder="1" applyAlignment="1" applyProtection="1">
      <alignment horizontal="center" vertical="center"/>
    </xf>
    <xf numFmtId="165" fontId="4" fillId="0" borderId="12" xfId="0" applyNumberFormat="1" applyFont="1" applyBorder="1" applyAlignment="1" applyProtection="1">
      <alignment horizontal="center" vertical="center"/>
    </xf>
    <xf numFmtId="165" fontId="4" fillId="0" borderId="9" xfId="0" applyNumberFormat="1" applyFont="1" applyBorder="1" applyAlignment="1" applyProtection="1">
      <alignment horizontal="center" vertical="center"/>
    </xf>
    <xf numFmtId="165" fontId="4" fillId="0" borderId="8" xfId="0" applyNumberFormat="1" applyFont="1" applyBorder="1" applyAlignment="1" applyProtection="1">
      <alignment horizontal="center" vertical="center"/>
    </xf>
    <xf numFmtId="165" fontId="4" fillId="0" borderId="46" xfId="0" applyNumberFormat="1" applyFont="1" applyBorder="1" applyAlignment="1" applyProtection="1">
      <alignment horizontal="center" vertical="center"/>
    </xf>
    <xf numFmtId="165" fontId="4" fillId="0" borderId="38" xfId="0" applyNumberFormat="1" applyFont="1" applyBorder="1" applyAlignment="1" applyProtection="1">
      <alignment horizontal="center" vertical="center"/>
    </xf>
    <xf numFmtId="165" fontId="4" fillId="0" borderId="11" xfId="0" applyNumberFormat="1" applyFont="1" applyBorder="1" applyAlignment="1" applyProtection="1">
      <alignment horizontal="center" vertical="center"/>
    </xf>
    <xf numFmtId="165" fontId="4" fillId="0" borderId="13" xfId="0" applyNumberFormat="1" applyFont="1" applyBorder="1" applyAlignment="1" applyProtection="1">
      <alignment horizontal="center" vertical="center"/>
    </xf>
    <xf numFmtId="49" fontId="1" fillId="0" borderId="3" xfId="0" applyNumberFormat="1" applyFont="1" applyBorder="1" applyAlignment="1">
      <alignment horizontal="center" vertical="center"/>
      <protection locked="0"/>
    </xf>
    <xf numFmtId="164" fontId="3" fillId="0" borderId="0" xfId="0" applyNumberFormat="1" applyFont="1" applyAlignment="1">
      <alignment vertical="center"/>
      <protection locked="0"/>
    </xf>
    <xf numFmtId="164" fontId="10" fillId="0" borderId="31" xfId="0" applyNumberFormat="1" applyFont="1" applyBorder="1" applyAlignment="1">
      <alignment horizontal="left" vertical="center" wrapText="1"/>
      <protection locked="0"/>
    </xf>
    <xf numFmtId="165" fontId="2" fillId="0" borderId="0" xfId="0" applyNumberFormat="1" applyFont="1" applyAlignment="1">
      <alignment horizontal="center"/>
      <protection locked="0"/>
    </xf>
    <xf numFmtId="49" fontId="4" fillId="0" borderId="14" xfId="0" applyNumberFormat="1" applyFont="1" applyBorder="1" applyAlignment="1">
      <alignment horizontal="center" vertical="center"/>
      <protection locked="0"/>
    </xf>
    <xf numFmtId="49" fontId="4" fillId="0" borderId="15" xfId="0" applyNumberFormat="1" applyFont="1" applyBorder="1" applyAlignment="1">
      <alignment horizontal="center" vertical="center"/>
      <protection locked="0"/>
    </xf>
    <xf numFmtId="164" fontId="10" fillId="0" borderId="14" xfId="0" applyNumberFormat="1" applyFont="1" applyBorder="1" applyAlignment="1">
      <alignment vertical="center" wrapText="1"/>
      <protection locked="0"/>
    </xf>
    <xf numFmtId="49" fontId="1" fillId="0" borderId="14" xfId="0" applyNumberFormat="1" applyFont="1" applyBorder="1" applyAlignment="1">
      <alignment horizontal="center" vertical="center"/>
      <protection locked="0"/>
    </xf>
    <xf numFmtId="49" fontId="1" fillId="0" borderId="15" xfId="0" applyNumberFormat="1" applyFont="1" applyBorder="1" applyAlignment="1">
      <alignment horizontal="center" vertical="center"/>
      <protection locked="0"/>
    </xf>
    <xf numFmtId="164" fontId="10" fillId="0" borderId="14" xfId="0" applyNumberFormat="1" applyFont="1" applyBorder="1" applyAlignment="1">
      <alignment horizontal="left" vertical="center" wrapText="1"/>
      <protection locked="0"/>
    </xf>
    <xf numFmtId="49" fontId="4" fillId="0" borderId="25" xfId="0" applyNumberFormat="1" applyFont="1" applyBorder="1" applyAlignment="1">
      <alignment horizontal="center" vertical="center"/>
      <protection locked="0"/>
    </xf>
    <xf numFmtId="164" fontId="5" fillId="0" borderId="44" xfId="0" applyNumberFormat="1" applyFont="1" applyBorder="1" applyAlignment="1">
      <alignment horizontal="center" vertical="center"/>
      <protection locked="0"/>
    </xf>
    <xf numFmtId="0" fontId="1" fillId="0" borderId="7" xfId="0" applyFont="1" applyBorder="1" applyAlignment="1">
      <alignment horizontal="center" vertical="center"/>
      <protection locked="0"/>
    </xf>
    <xf numFmtId="165" fontId="4" fillId="0" borderId="21" xfId="0" applyNumberFormat="1" applyFont="1" applyFill="1" applyBorder="1" applyAlignment="1" applyProtection="1">
      <alignment horizontal="center" vertical="center"/>
    </xf>
    <xf numFmtId="165" fontId="5" fillId="0" borderId="40" xfId="0" applyNumberFormat="1" applyFont="1" applyBorder="1" applyAlignment="1" applyProtection="1">
      <alignment horizontal="center" vertical="center"/>
    </xf>
    <xf numFmtId="165" fontId="5" fillId="0" borderId="21" xfId="0" applyNumberFormat="1" applyFont="1" applyBorder="1" applyAlignment="1" applyProtection="1">
      <alignment horizontal="center" vertical="center"/>
    </xf>
    <xf numFmtId="165" fontId="5" fillId="0" borderId="22" xfId="0" applyNumberFormat="1" applyFont="1" applyBorder="1" applyAlignment="1" applyProtection="1">
      <alignment horizontal="center" vertical="center"/>
    </xf>
    <xf numFmtId="165" fontId="5" fillId="0" borderId="23" xfId="0" applyNumberFormat="1" applyFont="1" applyBorder="1" applyAlignment="1" applyProtection="1">
      <alignment horizontal="center" vertical="center"/>
    </xf>
    <xf numFmtId="165" fontId="5" fillId="3" borderId="3" xfId="0" applyNumberFormat="1" applyFont="1" applyFill="1" applyBorder="1" applyAlignment="1" applyProtection="1">
      <alignment horizontal="center" vertical="center"/>
    </xf>
    <xf numFmtId="165" fontId="4" fillId="0" borderId="3" xfId="0" applyNumberFormat="1" applyFont="1" applyBorder="1" applyAlignment="1" applyProtection="1">
      <alignment horizontal="center" vertical="center"/>
    </xf>
    <xf numFmtId="165" fontId="4" fillId="3" borderId="3" xfId="0" applyNumberFormat="1" applyFont="1" applyFill="1" applyBorder="1" applyAlignment="1" applyProtection="1">
      <alignment horizontal="center" vertical="center"/>
    </xf>
    <xf numFmtId="165" fontId="5" fillId="2" borderId="3" xfId="0" applyNumberFormat="1" applyFont="1" applyFill="1" applyBorder="1" applyAlignment="1" applyProtection="1">
      <alignment horizontal="center" vertical="center"/>
    </xf>
    <xf numFmtId="165" fontId="12" fillId="0" borderId="40" xfId="0" applyNumberFormat="1" applyFont="1" applyBorder="1" applyAlignment="1" applyProtection="1">
      <alignment horizontal="center" vertical="center"/>
    </xf>
    <xf numFmtId="165" fontId="12" fillId="0" borderId="21" xfId="0" applyNumberFormat="1" applyFont="1" applyBorder="1" applyAlignment="1" applyProtection="1">
      <alignment horizontal="center" vertical="center"/>
    </xf>
    <xf numFmtId="165" fontId="12" fillId="0" borderId="22" xfId="0" applyNumberFormat="1" applyFont="1" applyBorder="1" applyAlignment="1" applyProtection="1">
      <alignment horizontal="center" vertical="center"/>
    </xf>
    <xf numFmtId="165" fontId="12" fillId="0" borderId="23" xfId="0" applyNumberFormat="1" applyFont="1" applyBorder="1" applyAlignment="1" applyProtection="1">
      <alignment horizontal="center" vertical="center"/>
    </xf>
    <xf numFmtId="165" fontId="12" fillId="2" borderId="3" xfId="0" applyNumberFormat="1" applyFont="1" applyFill="1" applyBorder="1" applyAlignment="1" applyProtection="1">
      <alignment horizontal="center" vertical="center"/>
    </xf>
    <xf numFmtId="165" fontId="4" fillId="0" borderId="22" xfId="0" applyNumberFormat="1" applyFont="1" applyFill="1" applyBorder="1" applyAlignment="1" applyProtection="1">
      <alignment horizontal="center" vertical="center"/>
    </xf>
    <xf numFmtId="165" fontId="4" fillId="0" borderId="23" xfId="0" applyNumberFormat="1" applyFont="1" applyFill="1" applyBorder="1" applyAlignment="1" applyProtection="1">
      <alignment horizontal="center" vertical="center"/>
    </xf>
    <xf numFmtId="165" fontId="4" fillId="2" borderId="3" xfId="0" applyNumberFormat="1" applyFont="1" applyFill="1" applyBorder="1" applyAlignment="1" applyProtection="1">
      <alignment horizontal="center" vertical="center"/>
    </xf>
    <xf numFmtId="165" fontId="4" fillId="0" borderId="40" xfId="0" applyNumberFormat="1" applyFont="1" applyFill="1" applyBorder="1" applyAlignment="1" applyProtection="1">
      <alignment horizontal="center" vertical="center"/>
    </xf>
    <xf numFmtId="165" fontId="10" fillId="0" borderId="40" xfId="0" applyNumberFormat="1" applyFont="1" applyBorder="1" applyAlignment="1" applyProtection="1">
      <alignment horizontal="center" vertical="center"/>
    </xf>
    <xf numFmtId="165" fontId="10" fillId="0" borderId="21" xfId="0" applyNumberFormat="1" applyFont="1" applyBorder="1" applyAlignment="1" applyProtection="1">
      <alignment horizontal="center" vertical="center"/>
    </xf>
    <xf numFmtId="165" fontId="10" fillId="0" borderId="22" xfId="0" applyNumberFormat="1" applyFont="1" applyBorder="1" applyAlignment="1" applyProtection="1">
      <alignment horizontal="center" vertical="center"/>
    </xf>
    <xf numFmtId="165" fontId="10" fillId="0" borderId="23" xfId="0" applyNumberFormat="1" applyFont="1" applyBorder="1" applyAlignment="1" applyProtection="1">
      <alignment horizontal="center" vertical="center"/>
    </xf>
    <xf numFmtId="165" fontId="10" fillId="3" borderId="3" xfId="0" applyNumberFormat="1" applyFont="1" applyFill="1" applyBorder="1" applyAlignment="1" applyProtection="1">
      <alignment horizontal="center" vertical="center"/>
    </xf>
    <xf numFmtId="165" fontId="10" fillId="0" borderId="40" xfId="0" applyNumberFormat="1" applyFont="1" applyFill="1" applyBorder="1" applyAlignment="1" applyProtection="1">
      <alignment horizontal="center" vertical="center"/>
    </xf>
    <xf numFmtId="165" fontId="10" fillId="0" borderId="21" xfId="0" applyNumberFormat="1" applyFont="1" applyFill="1" applyBorder="1" applyAlignment="1" applyProtection="1">
      <alignment horizontal="center" vertical="center"/>
    </xf>
    <xf numFmtId="165" fontId="10" fillId="0" borderId="22" xfId="0" applyNumberFormat="1" applyFont="1" applyFill="1" applyBorder="1" applyAlignment="1" applyProtection="1">
      <alignment horizontal="center" vertical="center"/>
    </xf>
    <xf numFmtId="165" fontId="10" fillId="0" borderId="23" xfId="0" applyNumberFormat="1" applyFont="1" applyFill="1" applyBorder="1" applyAlignment="1" applyProtection="1">
      <alignment horizontal="center" vertical="center"/>
    </xf>
    <xf numFmtId="165" fontId="10" fillId="2" borderId="3" xfId="0" applyNumberFormat="1" applyFont="1" applyFill="1" applyBorder="1" applyAlignment="1" applyProtection="1">
      <alignment horizontal="center" vertical="center"/>
    </xf>
    <xf numFmtId="165" fontId="5" fillId="0" borderId="40" xfId="0" applyNumberFormat="1" applyFont="1" applyFill="1" applyBorder="1" applyAlignment="1" applyProtection="1">
      <alignment horizontal="center" vertical="center"/>
    </xf>
    <xf numFmtId="165" fontId="5" fillId="0" borderId="21" xfId="0" applyNumberFormat="1" applyFont="1" applyFill="1" applyBorder="1" applyAlignment="1" applyProtection="1">
      <alignment horizontal="center" vertical="center"/>
    </xf>
    <xf numFmtId="165" fontId="5" fillId="0" borderId="22" xfId="0" applyNumberFormat="1" applyFont="1" applyFill="1" applyBorder="1" applyAlignment="1" applyProtection="1">
      <alignment horizontal="center" vertical="center"/>
    </xf>
    <xf numFmtId="165" fontId="5" fillId="0" borderId="23" xfId="0" applyNumberFormat="1" applyFont="1" applyFill="1" applyBorder="1" applyAlignment="1" applyProtection="1">
      <alignment horizontal="center" vertical="center"/>
    </xf>
    <xf numFmtId="164" fontId="10" fillId="0" borderId="15" xfId="0" applyNumberFormat="1" applyFont="1" applyFill="1" applyBorder="1" applyAlignment="1">
      <alignment horizontal="left" vertical="center" wrapText="1"/>
      <protection locked="0"/>
    </xf>
    <xf numFmtId="165" fontId="4" fillId="0" borderId="54" xfId="0" applyNumberFormat="1" applyFont="1" applyFill="1" applyBorder="1" applyAlignment="1" applyProtection="1">
      <alignment horizontal="center" vertical="center"/>
    </xf>
    <xf numFmtId="165" fontId="4" fillId="0" borderId="57" xfId="0" applyNumberFormat="1" applyFont="1" applyFill="1" applyBorder="1" applyAlignment="1" applyProtection="1">
      <alignment horizontal="center" vertical="center"/>
    </xf>
    <xf numFmtId="165" fontId="4" fillId="0" borderId="53" xfId="0" applyNumberFormat="1" applyFont="1" applyFill="1" applyBorder="1" applyAlignment="1" applyProtection="1">
      <alignment horizontal="center" vertical="center"/>
    </xf>
    <xf numFmtId="165" fontId="4" fillId="0" borderId="37" xfId="0" applyNumberFormat="1" applyFont="1" applyFill="1" applyBorder="1" applyAlignment="1" applyProtection="1">
      <alignment horizontal="center" vertical="center"/>
    </xf>
    <xf numFmtId="165" fontId="4" fillId="2" borderId="14" xfId="0" applyNumberFormat="1" applyFont="1" applyFill="1" applyBorder="1" applyAlignment="1" applyProtection="1">
      <alignment horizontal="center" vertical="center"/>
    </xf>
    <xf numFmtId="165" fontId="5" fillId="0" borderId="47" xfId="0" applyNumberFormat="1" applyFont="1" applyFill="1" applyBorder="1" applyAlignment="1" applyProtection="1">
      <alignment horizontal="center" vertical="center"/>
    </xf>
    <xf numFmtId="165" fontId="5" fillId="0" borderId="55" xfId="0" applyNumberFormat="1" applyFont="1" applyFill="1" applyBorder="1" applyAlignment="1" applyProtection="1">
      <alignment horizontal="center" vertical="center"/>
    </xf>
    <xf numFmtId="165" fontId="5" fillId="0" borderId="51" xfId="0" applyNumberFormat="1" applyFont="1" applyFill="1" applyBorder="1" applyAlignment="1" applyProtection="1">
      <alignment horizontal="center" vertical="center"/>
    </xf>
    <xf numFmtId="165" fontId="5" fillId="0" borderId="52" xfId="0" applyNumberFormat="1" applyFont="1" applyFill="1" applyBorder="1" applyAlignment="1" applyProtection="1">
      <alignment horizontal="center" vertical="center"/>
    </xf>
    <xf numFmtId="165" fontId="5" fillId="2" borderId="48" xfId="0" applyNumberFormat="1" applyFont="1" applyFill="1" applyBorder="1" applyAlignment="1" applyProtection="1">
      <alignment horizontal="center" vertical="center"/>
    </xf>
    <xf numFmtId="165" fontId="4" fillId="0" borderId="4" xfId="0" applyNumberFormat="1" applyFont="1" applyFill="1" applyBorder="1" applyAlignment="1" applyProtection="1">
      <alignment horizontal="center" vertical="center"/>
    </xf>
    <xf numFmtId="165" fontId="4" fillId="0" borderId="18" xfId="0" applyNumberFormat="1" applyFont="1" applyFill="1" applyBorder="1" applyAlignment="1" applyProtection="1">
      <alignment horizontal="center" vertical="center"/>
    </xf>
    <xf numFmtId="165" fontId="4" fillId="0" borderId="19" xfId="0" applyNumberFormat="1" applyFont="1" applyFill="1" applyBorder="1" applyAlignment="1" applyProtection="1">
      <alignment horizontal="center" vertical="center"/>
    </xf>
    <xf numFmtId="165" fontId="4" fillId="0" borderId="20" xfId="0" applyNumberFormat="1" applyFont="1" applyFill="1" applyBorder="1" applyAlignment="1" applyProtection="1">
      <alignment horizontal="center" vertical="center"/>
    </xf>
    <xf numFmtId="165" fontId="4" fillId="0" borderId="15" xfId="0" applyNumberFormat="1" applyFont="1" applyBorder="1" applyAlignment="1" applyProtection="1">
      <alignment horizontal="center" vertical="center"/>
    </xf>
    <xf numFmtId="164" fontId="4" fillId="0" borderId="0" xfId="0" applyNumberFormat="1" applyFont="1" applyBorder="1">
      <protection locked="0"/>
    </xf>
    <xf numFmtId="164" fontId="5" fillId="0" borderId="25" xfId="0" applyNumberFormat="1" applyFont="1" applyBorder="1" applyAlignment="1">
      <alignment horizontal="center" vertical="center"/>
      <protection locked="0"/>
    </xf>
    <xf numFmtId="164" fontId="5" fillId="0" borderId="58" xfId="0" applyNumberFormat="1" applyFont="1" applyBorder="1" applyAlignment="1">
      <alignment horizontal="center" vertical="center"/>
      <protection locked="0"/>
    </xf>
    <xf numFmtId="165" fontId="4" fillId="0" borderId="0" xfId="0" applyNumberFormat="1" applyFont="1" applyBorder="1" applyAlignment="1" applyProtection="1">
      <alignment horizontal="center" vertical="center"/>
    </xf>
    <xf numFmtId="165" fontId="4" fillId="0" borderId="49" xfId="0" applyNumberFormat="1" applyFont="1" applyBorder="1" applyAlignment="1" applyProtection="1">
      <alignment horizontal="center" vertical="center"/>
    </xf>
    <xf numFmtId="165" fontId="4" fillId="0" borderId="50" xfId="0" applyNumberFormat="1" applyFont="1" applyBorder="1" applyAlignment="1" applyProtection="1">
      <alignment horizontal="center" vertical="center"/>
    </xf>
    <xf numFmtId="165" fontId="4" fillId="0" borderId="26" xfId="0" applyNumberFormat="1" applyFont="1" applyBorder="1" applyAlignment="1" applyProtection="1">
      <alignment horizontal="center" vertical="center"/>
    </xf>
    <xf numFmtId="164" fontId="3" fillId="0" borderId="45" xfId="0" applyNumberFormat="1" applyFont="1" applyBorder="1">
      <protection locked="0"/>
    </xf>
    <xf numFmtId="165" fontId="5" fillId="0" borderId="44" xfId="0" applyNumberFormat="1" applyFont="1" applyBorder="1" applyAlignment="1" applyProtection="1">
      <alignment horizontal="center" vertical="center"/>
    </xf>
    <xf numFmtId="165" fontId="5" fillId="0" borderId="0" xfId="0" applyNumberFormat="1" applyFont="1" applyAlignment="1" applyProtection="1">
      <alignment horizontal="center" vertical="center"/>
    </xf>
    <xf numFmtId="165" fontId="5" fillId="0" borderId="49" xfId="0" applyNumberFormat="1" applyFont="1" applyBorder="1" applyAlignment="1" applyProtection="1">
      <alignment horizontal="center" vertical="center"/>
    </xf>
    <xf numFmtId="165" fontId="5" fillId="0" borderId="50" xfId="0" applyNumberFormat="1" applyFont="1" applyBorder="1" applyAlignment="1" applyProtection="1">
      <alignment horizontal="center" vertical="center"/>
    </xf>
    <xf numFmtId="165" fontId="5" fillId="0" borderId="26" xfId="0" applyNumberFormat="1" applyFont="1" applyBorder="1" applyAlignment="1" applyProtection="1">
      <alignment horizontal="center" vertical="center"/>
    </xf>
    <xf numFmtId="165" fontId="5" fillId="2" borderId="25" xfId="0" applyNumberFormat="1" applyFont="1" applyFill="1" applyBorder="1" applyAlignment="1" applyProtection="1">
      <alignment horizontal="center" vertical="center"/>
    </xf>
    <xf numFmtId="165" fontId="4" fillId="0" borderId="5" xfId="0" applyNumberFormat="1" applyFont="1" applyBorder="1" applyAlignment="1" applyProtection="1">
      <alignment horizontal="center" vertical="center"/>
    </xf>
    <xf numFmtId="165" fontId="4" fillId="2" borderId="10" xfId="0" applyNumberFormat="1" applyFont="1" applyFill="1" applyBorder="1" applyAlignment="1" applyProtection="1">
      <alignment horizontal="center" vertical="center"/>
    </xf>
    <xf numFmtId="164" fontId="4" fillId="0" borderId="0" xfId="0" applyNumberFormat="1" applyFont="1" applyAlignment="1">
      <alignment wrapText="1"/>
      <protection locked="0"/>
    </xf>
    <xf numFmtId="165" fontId="5" fillId="0" borderId="3" xfId="0" applyNumberFormat="1" applyFont="1" applyBorder="1" applyAlignment="1" applyProtection="1">
      <alignment horizontal="center" vertical="center"/>
    </xf>
    <xf numFmtId="165" fontId="1" fillId="0" borderId="54" xfId="0" applyNumberFormat="1" applyFont="1" applyBorder="1">
      <protection locked="0"/>
    </xf>
    <xf numFmtId="165" fontId="12" fillId="3" borderId="3" xfId="0" applyNumberFormat="1" applyFont="1" applyFill="1" applyBorder="1" applyAlignment="1" applyProtection="1">
      <alignment horizontal="center" vertical="center"/>
    </xf>
    <xf numFmtId="165" fontId="4" fillId="0" borderId="3" xfId="0" applyNumberFormat="1" applyFont="1" applyFill="1" applyBorder="1" applyAlignment="1" applyProtection="1">
      <alignment horizontal="center" vertical="center"/>
    </xf>
    <xf numFmtId="165" fontId="6" fillId="0" borderId="22" xfId="0" applyNumberFormat="1" applyFont="1" applyFill="1" applyBorder="1" applyAlignment="1" applyProtection="1">
      <alignment horizontal="center" vertical="center"/>
    </xf>
    <xf numFmtId="165" fontId="7" fillId="0" borderId="21" xfId="0" applyNumberFormat="1" applyFont="1" applyFill="1" applyBorder="1" applyAlignment="1" applyProtection="1">
      <alignment horizontal="center" vertical="center"/>
    </xf>
    <xf numFmtId="0" fontId="13" fillId="0" borderId="0" xfId="0" applyFont="1" applyFill="1">
      <protection locked="0"/>
    </xf>
    <xf numFmtId="0" fontId="1" fillId="0" borderId="0" xfId="0" applyFont="1" applyFill="1" applyAlignment="1">
      <alignment horizontal="center" vertical="center"/>
      <protection locked="0"/>
    </xf>
    <xf numFmtId="49" fontId="11" fillId="0" borderId="15" xfId="0" applyNumberFormat="1" applyFont="1" applyFill="1" applyBorder="1" applyAlignment="1">
      <alignment horizontal="center" vertical="center"/>
      <protection locked="0"/>
    </xf>
    <xf numFmtId="49" fontId="6" fillId="0" borderId="3" xfId="0" applyNumberFormat="1" applyFont="1" applyFill="1" applyBorder="1" applyAlignment="1">
      <alignment horizontal="center" vertical="center" wrapText="1"/>
      <protection locked="0"/>
    </xf>
    <xf numFmtId="0" fontId="16" fillId="0" borderId="0" xfId="0" applyFont="1">
      <protection locked="0"/>
    </xf>
    <xf numFmtId="165" fontId="16" fillId="0" borderId="0" xfId="0" applyNumberFormat="1" applyFont="1" applyAlignment="1">
      <alignment horizontal="right"/>
      <protection locked="0"/>
    </xf>
    <xf numFmtId="164" fontId="7" fillId="0" borderId="1" xfId="0" applyNumberFormat="1" applyFont="1" applyBorder="1" applyAlignment="1">
      <alignment wrapText="1"/>
      <protection locked="0"/>
    </xf>
    <xf numFmtId="49" fontId="7" fillId="0" borderId="15" xfId="0" applyNumberFormat="1" applyFont="1" applyFill="1" applyBorder="1" applyAlignment="1">
      <alignment horizontal="center" vertical="center"/>
      <protection locked="0"/>
    </xf>
    <xf numFmtId="49" fontId="6" fillId="0" borderId="15" xfId="0" applyNumberFormat="1" applyFont="1" applyFill="1" applyBorder="1" applyAlignment="1">
      <alignment horizontal="center" vertical="center"/>
      <protection locked="0"/>
    </xf>
    <xf numFmtId="164" fontId="7" fillId="0" borderId="6" xfId="0" applyNumberFormat="1" applyFont="1" applyBorder="1" applyAlignment="1">
      <alignment wrapText="1"/>
      <protection locked="0"/>
    </xf>
    <xf numFmtId="49" fontId="8" fillId="0" borderId="15" xfId="0" applyNumberFormat="1" applyFont="1" applyFill="1" applyBorder="1" applyAlignment="1">
      <alignment horizontal="center" vertical="center"/>
      <protection locked="0"/>
    </xf>
    <xf numFmtId="164" fontId="8" fillId="0" borderId="1" xfId="0" applyNumberFormat="1" applyFont="1" applyFill="1" applyBorder="1" applyAlignment="1">
      <alignment wrapText="1"/>
      <protection locked="0"/>
    </xf>
    <xf numFmtId="49" fontId="7" fillId="0" borderId="3" xfId="0" applyNumberFormat="1" applyFont="1" applyFill="1" applyBorder="1" applyAlignment="1">
      <alignment horizontal="center" vertical="center" wrapText="1"/>
      <protection locked="0"/>
    </xf>
    <xf numFmtId="49" fontId="6" fillId="0" borderId="3" xfId="0" applyNumberFormat="1" applyFont="1" applyFill="1" applyBorder="1" applyAlignment="1">
      <alignment horizontal="center" wrapText="1"/>
      <protection locked="0"/>
    </xf>
    <xf numFmtId="164" fontId="6" fillId="0" borderId="6" xfId="0" applyNumberFormat="1" applyFont="1" applyBorder="1" applyAlignment="1">
      <alignment wrapText="1"/>
      <protection locked="0"/>
    </xf>
    <xf numFmtId="49" fontId="6" fillId="0" borderId="25" xfId="0" applyNumberFormat="1" applyFont="1" applyFill="1" applyBorder="1" applyAlignment="1">
      <alignment horizontal="center" vertical="center"/>
      <protection locked="0"/>
    </xf>
    <xf numFmtId="164" fontId="7" fillId="0" borderId="48" xfId="0" applyNumberFormat="1" applyFont="1" applyFill="1" applyBorder="1" applyAlignment="1">
      <alignment horizontal="center" vertical="center"/>
      <protection locked="0"/>
    </xf>
    <xf numFmtId="164" fontId="7" fillId="0" borderId="43" xfId="0" applyNumberFormat="1" applyFont="1" applyFill="1" applyBorder="1" applyAlignment="1">
      <alignment horizontal="center" vertical="center"/>
      <protection locked="0"/>
    </xf>
    <xf numFmtId="165" fontId="6" fillId="0" borderId="18" xfId="0" applyNumberFormat="1" applyFont="1" applyBorder="1" applyAlignment="1" applyProtection="1">
      <alignment horizontal="center" vertical="center"/>
    </xf>
    <xf numFmtId="165" fontId="6" fillId="0" borderId="20" xfId="0" applyNumberFormat="1" applyFont="1" applyBorder="1" applyAlignment="1" applyProtection="1">
      <alignment horizontal="center" vertical="center"/>
    </xf>
    <xf numFmtId="164" fontId="7" fillId="0" borderId="17" xfId="0" applyNumberFormat="1" applyFont="1" applyFill="1" applyBorder="1" applyAlignment="1">
      <alignment horizontal="center" vertical="center"/>
      <protection locked="0"/>
    </xf>
    <xf numFmtId="164" fontId="7" fillId="0" borderId="56" xfId="0" applyNumberFormat="1" applyFont="1" applyFill="1" applyBorder="1" applyAlignment="1">
      <alignment horizontal="center" vertical="center"/>
      <protection locked="0"/>
    </xf>
    <xf numFmtId="165" fontId="6" fillId="0" borderId="38" xfId="0" applyNumberFormat="1" applyFont="1" applyBorder="1" applyAlignment="1" applyProtection="1">
      <alignment horizontal="center" vertical="center"/>
    </xf>
    <xf numFmtId="165" fontId="6" fillId="0" borderId="13" xfId="0" applyNumberFormat="1" applyFont="1" applyBorder="1" applyAlignment="1" applyProtection="1">
      <alignment horizontal="center" vertical="center"/>
    </xf>
    <xf numFmtId="0" fontId="16" fillId="0" borderId="0" xfId="0" applyFont="1" applyFill="1" applyAlignment="1">
      <alignment horizontal="center" vertical="center"/>
      <protection locked="0"/>
    </xf>
    <xf numFmtId="165" fontId="17" fillId="0" borderId="0" xfId="0" applyNumberFormat="1" applyFont="1" applyFill="1" applyAlignment="1">
      <alignment horizontal="center"/>
      <protection locked="0"/>
    </xf>
    <xf numFmtId="1" fontId="16" fillId="0" borderId="5" xfId="0" applyNumberFormat="1" applyFont="1" applyFill="1" applyBorder="1" applyAlignment="1">
      <alignment horizontal="center" vertical="center" wrapText="1"/>
      <protection locked="0"/>
    </xf>
    <xf numFmtId="0" fontId="19" fillId="0" borderId="3" xfId="0" applyFont="1" applyBorder="1" applyAlignment="1">
      <alignment horizontal="center"/>
      <protection locked="0"/>
    </xf>
    <xf numFmtId="49" fontId="6" fillId="0" borderId="1" xfId="0" applyNumberFormat="1" applyFont="1" applyBorder="1" applyAlignment="1">
      <alignment horizontal="center" vertical="center" wrapText="1"/>
      <protection locked="0"/>
    </xf>
    <xf numFmtId="164" fontId="8" fillId="0" borderId="56" xfId="0" applyNumberFormat="1" applyFont="1" applyFill="1" applyBorder="1" applyAlignment="1">
      <alignment horizontal="center" vertical="center"/>
      <protection locked="0"/>
    </xf>
    <xf numFmtId="164" fontId="11" fillId="0" borderId="14" xfId="0" applyNumberFormat="1" applyFont="1" applyFill="1" applyBorder="1" applyAlignment="1">
      <alignment vertical="center" wrapText="1"/>
      <protection locked="0"/>
    </xf>
    <xf numFmtId="0" fontId="19" fillId="0" borderId="0" xfId="0" applyFont="1">
      <protection locked="0"/>
    </xf>
    <xf numFmtId="0" fontId="19" fillId="0" borderId="15" xfId="0" applyFont="1" applyBorder="1" applyAlignment="1">
      <alignment horizontal="center"/>
      <protection locked="0"/>
    </xf>
    <xf numFmtId="49" fontId="7" fillId="0" borderId="14" xfId="0" applyNumberFormat="1" applyFont="1" applyFill="1" applyBorder="1" applyAlignment="1">
      <alignment horizontal="center" vertical="center" wrapText="1"/>
      <protection locked="0"/>
    </xf>
    <xf numFmtId="165" fontId="6" fillId="0" borderId="57" xfId="0" applyNumberFormat="1" applyFont="1" applyFill="1" applyBorder="1" applyAlignment="1" applyProtection="1">
      <alignment horizontal="center" vertical="center"/>
    </xf>
    <xf numFmtId="165" fontId="6" fillId="0" borderId="23" xfId="0" applyNumberFormat="1" applyFont="1" applyFill="1" applyBorder="1" applyAlignment="1" applyProtection="1">
      <alignment horizontal="center" vertical="center"/>
    </xf>
    <xf numFmtId="49" fontId="6" fillId="0" borderId="3" xfId="0" applyNumberFormat="1" applyFont="1" applyFill="1" applyBorder="1" applyAlignment="1">
      <alignment horizontal="center" vertical="center"/>
      <protection locked="0"/>
    </xf>
    <xf numFmtId="164" fontId="11" fillId="0" borderId="3" xfId="0" applyNumberFormat="1" applyFont="1" applyFill="1" applyBorder="1" applyAlignment="1">
      <alignment horizontal="left" vertical="center" wrapText="1"/>
      <protection locked="0"/>
    </xf>
    <xf numFmtId="0" fontId="16" fillId="0" borderId="15" xfId="0" applyFont="1" applyBorder="1" applyAlignment="1">
      <alignment horizontal="center" vertical="center" wrapText="1"/>
      <protection locked="0"/>
    </xf>
    <xf numFmtId="0" fontId="21" fillId="0" borderId="0" xfId="0" applyFont="1" applyFill="1" applyAlignment="1">
      <alignment horizontal="center" vertical="center"/>
      <protection locked="0"/>
    </xf>
    <xf numFmtId="1" fontId="16" fillId="0" borderId="20" xfId="0" applyNumberFormat="1" applyFont="1" applyBorder="1" applyAlignment="1">
      <alignment horizontal="center" vertical="center" wrapText="1"/>
      <protection locked="0"/>
    </xf>
    <xf numFmtId="0" fontId="16" fillId="0" borderId="6" xfId="0" applyFont="1" applyBorder="1" applyAlignment="1">
      <alignment horizontal="center" vertical="center"/>
      <protection locked="0"/>
    </xf>
    <xf numFmtId="1" fontId="16" fillId="0" borderId="6" xfId="0" applyNumberFormat="1" applyFont="1" applyBorder="1" applyAlignment="1">
      <alignment horizontal="center" vertical="center" wrapText="1"/>
      <protection locked="0"/>
    </xf>
    <xf numFmtId="1" fontId="16" fillId="0" borderId="15" xfId="0" applyNumberFormat="1" applyFont="1" applyFill="1" applyBorder="1" applyAlignment="1">
      <alignment horizontal="center" vertical="center" wrapText="1"/>
      <protection locked="0"/>
    </xf>
    <xf numFmtId="1" fontId="16" fillId="0" borderId="18" xfId="0" applyNumberFormat="1" applyFont="1" applyBorder="1" applyAlignment="1">
      <alignment horizontal="center" vertical="center"/>
      <protection locked="0"/>
    </xf>
    <xf numFmtId="0" fontId="16" fillId="0" borderId="30" xfId="0" applyFont="1" applyFill="1" applyBorder="1" applyAlignment="1">
      <alignment horizontal="center" vertical="center"/>
      <protection locked="0"/>
    </xf>
    <xf numFmtId="165" fontId="2" fillId="0" borderId="0" xfId="0" applyNumberFormat="1" applyFont="1" applyAlignment="1">
      <alignment horizontal="center"/>
      <protection locked="0"/>
    </xf>
    <xf numFmtId="0" fontId="4" fillId="0" borderId="1" xfId="0" applyFont="1" applyBorder="1" applyAlignment="1">
      <alignment horizontal="center" vertical="center"/>
      <protection locked="0"/>
    </xf>
    <xf numFmtId="0" fontId="26" fillId="0" borderId="0" xfId="0" applyFont="1" applyAlignment="1">
      <alignment horizontal="center"/>
      <protection locked="0"/>
    </xf>
    <xf numFmtId="0" fontId="26" fillId="0" borderId="0" xfId="0" applyFont="1">
      <protection locked="0"/>
    </xf>
    <xf numFmtId="0" fontId="26" fillId="0" borderId="0" xfId="0" applyFont="1" applyAlignment="1">
      <alignment horizontal="center" vertical="center"/>
      <protection locked="0"/>
    </xf>
    <xf numFmtId="165" fontId="26" fillId="0" borderId="0" xfId="0" applyNumberFormat="1" applyFont="1">
      <protection locked="0"/>
    </xf>
    <xf numFmtId="164" fontId="4" fillId="0" borderId="1" xfId="0" applyNumberFormat="1" applyFont="1" applyBorder="1" applyAlignment="1">
      <alignment vertical="center" wrapText="1"/>
      <protection locked="0"/>
    </xf>
    <xf numFmtId="164" fontId="4" fillId="0" borderId="16" xfId="0" applyNumberFormat="1" applyFont="1" applyBorder="1" applyAlignment="1">
      <alignment vertical="center" wrapText="1"/>
      <protection locked="0"/>
    </xf>
    <xf numFmtId="165" fontId="7" fillId="0" borderId="36" xfId="0" applyNumberFormat="1" applyFont="1" applyBorder="1" applyAlignment="1" applyProtection="1">
      <alignment horizontal="center" vertical="center"/>
    </xf>
    <xf numFmtId="164" fontId="6" fillId="0" borderId="1" xfId="0" applyNumberFormat="1" applyFont="1" applyBorder="1">
      <protection locked="0"/>
    </xf>
    <xf numFmtId="165" fontId="7" fillId="0" borderId="38" xfId="0" applyNumberFormat="1" applyFont="1" applyBorder="1" applyAlignment="1" applyProtection="1">
      <alignment horizontal="center" vertical="center"/>
    </xf>
    <xf numFmtId="1" fontId="16" fillId="0" borderId="20" xfId="0" applyNumberFormat="1" applyFont="1" applyBorder="1" applyAlignment="1">
      <alignment horizontal="center" vertical="center"/>
      <protection locked="0"/>
    </xf>
    <xf numFmtId="0" fontId="7" fillId="0" borderId="6" xfId="0" applyFont="1" applyBorder="1" applyAlignment="1">
      <alignment horizontal="center" vertical="center"/>
      <protection locked="0"/>
    </xf>
    <xf numFmtId="0" fontId="16" fillId="0" borderId="3" xfId="0" applyFont="1" applyBorder="1" applyAlignment="1">
      <alignment horizontal="center"/>
      <protection locked="0"/>
    </xf>
    <xf numFmtId="49" fontId="7" fillId="0" borderId="1" xfId="0" applyNumberFormat="1" applyFont="1" applyBorder="1" applyAlignment="1">
      <alignment horizontal="center" vertical="center" wrapText="1"/>
      <protection locked="0"/>
    </xf>
    <xf numFmtId="165" fontId="6" fillId="0" borderId="36" xfId="0" applyNumberFormat="1" applyFont="1" applyBorder="1" applyAlignment="1" applyProtection="1">
      <alignment horizontal="center" vertical="center"/>
    </xf>
    <xf numFmtId="0" fontId="16" fillId="0" borderId="14" xfId="0" applyFont="1" applyBorder="1" applyAlignment="1">
      <alignment horizontal="center"/>
      <protection locked="0"/>
    </xf>
    <xf numFmtId="164" fontId="6" fillId="0" borderId="31" xfId="0" applyNumberFormat="1" applyFont="1" applyBorder="1" applyAlignment="1">
      <alignment wrapText="1"/>
      <protection locked="0"/>
    </xf>
    <xf numFmtId="49" fontId="6" fillId="0" borderId="16" xfId="0" applyNumberFormat="1" applyFont="1" applyBorder="1" applyAlignment="1">
      <alignment horizontal="center" vertical="center" wrapText="1"/>
      <protection locked="0"/>
    </xf>
    <xf numFmtId="164" fontId="2" fillId="0" borderId="47" xfId="0" applyNumberFormat="1" applyFont="1" applyBorder="1">
      <protection locked="0"/>
    </xf>
    <xf numFmtId="0" fontId="5" fillId="0" borderId="15" xfId="0" applyFont="1" applyBorder="1" applyAlignment="1">
      <alignment horizontal="center"/>
      <protection locked="0"/>
    </xf>
    <xf numFmtId="164" fontId="11" fillId="0" borderId="6" xfId="0" applyNumberFormat="1" applyFont="1" applyBorder="1">
      <protection locked="0"/>
    </xf>
    <xf numFmtId="164" fontId="5" fillId="0" borderId="6" xfId="0" applyNumberFormat="1" applyFont="1" applyBorder="1" applyAlignment="1">
      <alignment horizontal="center" vertical="center"/>
      <protection locked="0"/>
    </xf>
    <xf numFmtId="0" fontId="5" fillId="0" borderId="3" xfId="0" applyFont="1" applyBorder="1" applyAlignment="1">
      <alignment horizontal="center"/>
      <protection locked="0"/>
    </xf>
    <xf numFmtId="164" fontId="6" fillId="0" borderId="1" xfId="0" applyNumberFormat="1" applyFont="1" applyBorder="1" applyAlignment="1">
      <alignment horizontal="center" vertical="center"/>
      <protection locked="0"/>
    </xf>
    <xf numFmtId="0" fontId="5" fillId="0" borderId="27" xfId="0" applyFont="1" applyBorder="1" applyAlignment="1">
      <alignment horizontal="center"/>
      <protection locked="0"/>
    </xf>
    <xf numFmtId="164" fontId="6" fillId="0" borderId="32" xfId="0" applyNumberFormat="1" applyFont="1" applyBorder="1">
      <protection locked="0"/>
    </xf>
    <xf numFmtId="164" fontId="6" fillId="0" borderId="32" xfId="0" applyNumberFormat="1" applyFont="1" applyBorder="1" applyAlignment="1">
      <alignment horizontal="center" vertical="center"/>
      <protection locked="0"/>
    </xf>
    <xf numFmtId="164" fontId="1" fillId="0" borderId="54" xfId="0" applyNumberFormat="1" applyFont="1" applyBorder="1">
      <protection locked="0"/>
    </xf>
    <xf numFmtId="164" fontId="6" fillId="0" borderId="0" xfId="0" applyNumberFormat="1" applyFont="1" applyAlignment="1">
      <alignment wrapText="1"/>
      <protection locked="0"/>
    </xf>
    <xf numFmtId="164" fontId="26" fillId="0" borderId="0" xfId="0" applyNumberFormat="1" applyFont="1">
      <protection locked="0"/>
    </xf>
    <xf numFmtId="164" fontId="1" fillId="0" borderId="0" xfId="0" applyNumberFormat="1" applyFont="1" applyAlignment="1">
      <alignment horizontal="right"/>
      <protection locked="0"/>
    </xf>
    <xf numFmtId="1" fontId="1" fillId="0" borderId="8" xfId="0" applyNumberFormat="1" applyFont="1" applyBorder="1" applyAlignment="1">
      <alignment horizontal="center" vertical="center"/>
      <protection locked="0"/>
    </xf>
    <xf numFmtId="0" fontId="1" fillId="0" borderId="0" xfId="0" applyFont="1" applyAlignment="1">
      <alignment vertical="center"/>
      <protection locked="0"/>
    </xf>
    <xf numFmtId="0" fontId="7" fillId="0" borderId="1" xfId="0" applyFont="1" applyBorder="1" applyAlignment="1">
      <alignment horizontal="center" vertical="center"/>
      <protection locked="0"/>
    </xf>
    <xf numFmtId="0" fontId="5" fillId="0" borderId="1" xfId="0" applyFont="1" applyBorder="1" applyAlignment="1">
      <alignment horizontal="center" vertical="center"/>
      <protection locked="0"/>
    </xf>
    <xf numFmtId="0" fontId="4" fillId="0" borderId="16" xfId="0" applyFont="1" applyBorder="1" applyAlignment="1">
      <alignment horizontal="center" vertical="center"/>
      <protection locked="0"/>
    </xf>
    <xf numFmtId="164" fontId="4" fillId="0" borderId="3" xfId="0" applyNumberFormat="1" applyFont="1" applyBorder="1" applyAlignment="1">
      <alignment vertical="center" wrapText="1"/>
      <protection locked="0"/>
    </xf>
    <xf numFmtId="164" fontId="2" fillId="0" borderId="44" xfId="0" applyNumberFormat="1" applyFont="1" applyBorder="1">
      <protection locked="0"/>
    </xf>
    <xf numFmtId="164" fontId="4" fillId="0" borderId="5" xfId="0" applyNumberFormat="1" applyFont="1" applyBorder="1">
      <protection locked="0"/>
    </xf>
    <xf numFmtId="164" fontId="4" fillId="0" borderId="5" xfId="0" applyNumberFormat="1" applyFont="1" applyBorder="1" applyAlignment="1">
      <alignment horizontal="center" vertical="center"/>
      <protection locked="0"/>
    </xf>
    <xf numFmtId="165" fontId="5" fillId="0" borderId="12" xfId="0" applyNumberFormat="1" applyFont="1" applyBorder="1" applyAlignment="1" applyProtection="1">
      <alignment horizontal="center" vertical="center"/>
    </xf>
    <xf numFmtId="165" fontId="5" fillId="0" borderId="8" xfId="0" applyNumberFormat="1" applyFont="1" applyBorder="1" applyAlignment="1" applyProtection="1">
      <alignment horizontal="center" vertical="center"/>
    </xf>
    <xf numFmtId="165" fontId="5" fillId="0" borderId="59" xfId="0" applyNumberFormat="1" applyFont="1" applyBorder="1" applyAlignment="1" applyProtection="1">
      <alignment horizontal="center" vertical="center"/>
    </xf>
    <xf numFmtId="164" fontId="4" fillId="0" borderId="15" xfId="0" applyNumberFormat="1" applyFont="1" applyBorder="1">
      <protection locked="0"/>
    </xf>
    <xf numFmtId="164" fontId="4" fillId="0" borderId="15" xfId="0" applyNumberFormat="1" applyFont="1" applyBorder="1" applyAlignment="1">
      <alignment horizontal="center" vertical="center"/>
      <protection locked="0"/>
    </xf>
    <xf numFmtId="164" fontId="4" fillId="0" borderId="3" xfId="0" applyNumberFormat="1" applyFont="1" applyBorder="1">
      <protection locked="0"/>
    </xf>
    <xf numFmtId="164" fontId="4" fillId="0" borderId="3" xfId="0" applyNumberFormat="1" applyFont="1" applyBorder="1" applyAlignment="1">
      <alignment horizontal="center" vertical="center"/>
      <protection locked="0"/>
    </xf>
    <xf numFmtId="165" fontId="5" fillId="0" borderId="17" xfId="0" applyNumberFormat="1" applyFont="1" applyBorder="1" applyAlignment="1" applyProtection="1">
      <alignment horizontal="center" vertical="center"/>
    </xf>
    <xf numFmtId="164" fontId="4" fillId="0" borderId="14" xfId="0" applyNumberFormat="1" applyFont="1" applyBorder="1" applyAlignment="1">
      <alignment horizontal="center" vertical="center"/>
      <protection locked="0"/>
    </xf>
    <xf numFmtId="164" fontId="4" fillId="0" borderId="27" xfId="0" applyNumberFormat="1" applyFont="1" applyBorder="1">
      <protection locked="0"/>
    </xf>
    <xf numFmtId="164" fontId="4" fillId="0" borderId="27" xfId="0" applyNumberFormat="1" applyFont="1" applyBorder="1" applyAlignment="1">
      <alignment horizontal="center" vertical="center"/>
      <protection locked="0"/>
    </xf>
    <xf numFmtId="165" fontId="5" fillId="0" borderId="41" xfId="0" applyNumberFormat="1" applyFont="1" applyBorder="1" applyAlignment="1" applyProtection="1">
      <alignment horizontal="center" vertical="center"/>
    </xf>
    <xf numFmtId="165" fontId="5" fillId="0" borderId="28" xfId="0" applyNumberFormat="1" applyFont="1" applyBorder="1" applyAlignment="1" applyProtection="1">
      <alignment horizontal="center" vertical="center"/>
    </xf>
    <xf numFmtId="0" fontId="1" fillId="0" borderId="34" xfId="0" applyFont="1" applyBorder="1" applyAlignment="1">
      <alignment horizontal="center" vertical="center"/>
      <protection locked="0"/>
    </xf>
    <xf numFmtId="164" fontId="1" fillId="0" borderId="4" xfId="0" applyNumberFormat="1" applyFont="1" applyBorder="1">
      <protection locked="0"/>
    </xf>
    <xf numFmtId="0" fontId="16" fillId="0" borderId="0" xfId="0" applyFont="1" applyFill="1" applyAlignment="1">
      <alignment horizontal="center"/>
      <protection locked="0"/>
    </xf>
    <xf numFmtId="0" fontId="16" fillId="0" borderId="0" xfId="0" applyFont="1" applyFill="1">
      <protection locked="0"/>
    </xf>
    <xf numFmtId="165" fontId="16" fillId="0" borderId="0" xfId="0" applyNumberFormat="1" applyFont="1" applyFill="1">
      <protection locked="0"/>
    </xf>
    <xf numFmtId="0" fontId="21" fillId="0" borderId="0" xfId="0" applyFont="1" applyFill="1" applyAlignment="1">
      <alignment horizontal="center"/>
      <protection locked="0"/>
    </xf>
    <xf numFmtId="0" fontId="21" fillId="0" borderId="0" xfId="0" applyFont="1" applyFill="1">
      <protection locked="0"/>
    </xf>
    <xf numFmtId="165" fontId="21" fillId="0" borderId="0" xfId="0" applyNumberFormat="1" applyFont="1" applyFill="1">
      <protection locked="0"/>
    </xf>
    <xf numFmtId="164" fontId="16" fillId="0" borderId="0" xfId="0" applyNumberFormat="1" applyFont="1" applyFill="1">
      <protection locked="0"/>
    </xf>
    <xf numFmtId="165" fontId="25" fillId="0" borderId="0" xfId="0" applyNumberFormat="1" applyFont="1" applyFill="1" applyAlignment="1">
      <alignment horizontal="center"/>
      <protection locked="0"/>
    </xf>
    <xf numFmtId="165" fontId="16" fillId="0" borderId="0" xfId="0" applyNumberFormat="1" applyFont="1" applyFill="1" applyAlignment="1">
      <alignment horizontal="right"/>
      <protection locked="0"/>
    </xf>
    <xf numFmtId="0" fontId="19" fillId="0" borderId="0" xfId="0" applyFont="1" applyFill="1" applyAlignment="1">
      <alignment horizontal="center" vertical="center" wrapText="1"/>
      <protection locked="0"/>
    </xf>
    <xf numFmtId="0" fontId="19" fillId="0" borderId="0" xfId="0" applyFont="1" applyFill="1" applyAlignment="1">
      <alignment horizontal="center" vertical="center"/>
      <protection locked="0"/>
    </xf>
    <xf numFmtId="0" fontId="16" fillId="0" borderId="15" xfId="0" applyFont="1" applyFill="1" applyBorder="1" applyAlignment="1">
      <alignment horizontal="center" vertical="center" wrapText="1"/>
      <protection locked="0"/>
    </xf>
    <xf numFmtId="0" fontId="16" fillId="0" borderId="6" xfId="0" applyFont="1" applyFill="1" applyBorder="1" applyAlignment="1">
      <alignment horizontal="center" vertical="center"/>
      <protection locked="0"/>
    </xf>
    <xf numFmtId="1" fontId="16" fillId="0" borderId="6" xfId="0" applyNumberFormat="1" applyFont="1" applyFill="1" applyBorder="1" applyAlignment="1">
      <alignment horizontal="center" vertical="center" wrapText="1"/>
      <protection locked="0"/>
    </xf>
    <xf numFmtId="1" fontId="16" fillId="0" borderId="4" xfId="0" applyNumberFormat="1" applyFont="1" applyFill="1" applyBorder="1" applyAlignment="1">
      <alignment horizontal="center" vertical="center"/>
      <protection locked="0"/>
    </xf>
    <xf numFmtId="1" fontId="16" fillId="0" borderId="19" xfId="0" applyNumberFormat="1" applyFont="1" applyFill="1" applyBorder="1" applyAlignment="1">
      <alignment horizontal="center" vertical="center"/>
      <protection locked="0"/>
    </xf>
    <xf numFmtId="1" fontId="16" fillId="0" borderId="18" xfId="0" applyNumberFormat="1" applyFont="1" applyFill="1" applyBorder="1" applyAlignment="1">
      <alignment horizontal="center" vertical="center"/>
      <protection locked="0"/>
    </xf>
    <xf numFmtId="1" fontId="16" fillId="0" borderId="20" xfId="0" applyNumberFormat="1" applyFont="1" applyFill="1" applyBorder="1" applyAlignment="1">
      <alignment horizontal="center" vertical="center" wrapText="1"/>
      <protection locked="0"/>
    </xf>
    <xf numFmtId="0" fontId="19" fillId="0" borderId="15" xfId="0" applyFont="1" applyFill="1" applyBorder="1" applyAlignment="1">
      <alignment horizontal="center" vertical="center" wrapText="1"/>
      <protection locked="0"/>
    </xf>
    <xf numFmtId="164" fontId="7" fillId="0" borderId="1" xfId="0" applyNumberFormat="1" applyFont="1" applyFill="1" applyBorder="1" applyAlignment="1">
      <alignment vertical="center" wrapText="1"/>
      <protection locked="0"/>
    </xf>
    <xf numFmtId="49" fontId="7" fillId="0" borderId="6" xfId="0" applyNumberFormat="1" applyFont="1" applyFill="1" applyBorder="1" applyAlignment="1">
      <alignment horizontal="center" vertical="center"/>
      <protection locked="0"/>
    </xf>
    <xf numFmtId="165" fontId="7" fillId="0" borderId="40" xfId="0" applyNumberFormat="1" applyFont="1" applyFill="1" applyBorder="1" applyAlignment="1" applyProtection="1">
      <alignment horizontal="center" vertical="center"/>
    </xf>
    <xf numFmtId="165" fontId="7" fillId="0" borderId="22" xfId="0" applyNumberFormat="1" applyFont="1" applyFill="1" applyBorder="1" applyAlignment="1" applyProtection="1">
      <alignment horizontal="center" vertical="center"/>
    </xf>
    <xf numFmtId="165" fontId="7" fillId="0" borderId="23" xfId="0" applyNumberFormat="1" applyFont="1" applyFill="1" applyBorder="1" applyAlignment="1" applyProtection="1">
      <alignment horizontal="center" vertical="center"/>
    </xf>
    <xf numFmtId="0" fontId="19" fillId="0" borderId="0" xfId="0" applyFont="1" applyFill="1" applyAlignment="1">
      <alignment vertical="center"/>
      <protection locked="0"/>
    </xf>
    <xf numFmtId="0" fontId="16" fillId="0" borderId="6" xfId="0" applyFont="1" applyFill="1" applyBorder="1" applyAlignment="1">
      <alignment horizontal="center" vertical="center" wrapText="1"/>
      <protection locked="0"/>
    </xf>
    <xf numFmtId="164" fontId="6" fillId="0" borderId="1" xfId="0" applyNumberFormat="1" applyFont="1" applyFill="1" applyBorder="1" applyAlignment="1">
      <alignment wrapText="1"/>
      <protection locked="0"/>
    </xf>
    <xf numFmtId="49" fontId="6" fillId="0" borderId="6" xfId="0" applyNumberFormat="1" applyFont="1" applyFill="1" applyBorder="1" applyAlignment="1">
      <alignment horizontal="center" vertical="center"/>
      <protection locked="0"/>
    </xf>
    <xf numFmtId="164" fontId="11" fillId="0" borderId="1" xfId="0" applyNumberFormat="1" applyFont="1" applyFill="1" applyBorder="1" applyAlignment="1">
      <alignment vertical="center" wrapText="1"/>
      <protection locked="0"/>
    </xf>
    <xf numFmtId="0" fontId="19" fillId="0" borderId="15" xfId="0" applyFont="1" applyFill="1" applyBorder="1" applyAlignment="1">
      <alignment horizontal="center" vertical="center"/>
      <protection locked="0"/>
    </xf>
    <xf numFmtId="164" fontId="7" fillId="0" borderId="6" xfId="0" applyNumberFormat="1" applyFont="1" applyFill="1" applyBorder="1" applyAlignment="1">
      <alignment vertical="center" wrapText="1"/>
      <protection locked="0"/>
    </xf>
    <xf numFmtId="0" fontId="23" fillId="0" borderId="0" xfId="0" applyFont="1" applyFill="1" applyAlignment="1">
      <alignment vertical="center"/>
      <protection locked="0"/>
    </xf>
    <xf numFmtId="0" fontId="16" fillId="0" borderId="6" xfId="0" applyFont="1" applyFill="1" applyBorder="1" applyAlignment="1">
      <alignment horizontal="center"/>
      <protection locked="0"/>
    </xf>
    <xf numFmtId="0" fontId="16" fillId="0" borderId="31" xfId="0" applyFont="1" applyFill="1" applyBorder="1" applyAlignment="1">
      <alignment horizontal="center"/>
      <protection locked="0"/>
    </xf>
    <xf numFmtId="49" fontId="8" fillId="0" borderId="6" xfId="0" applyNumberFormat="1" applyFont="1" applyFill="1" applyBorder="1" applyAlignment="1">
      <alignment horizontal="center" vertical="center"/>
      <protection locked="0"/>
    </xf>
    <xf numFmtId="165" fontId="8" fillId="0" borderId="40" xfId="0" applyNumberFormat="1" applyFont="1" applyFill="1" applyBorder="1" applyAlignment="1" applyProtection="1">
      <alignment horizontal="center" vertical="center"/>
    </xf>
    <xf numFmtId="165" fontId="11" fillId="0" borderId="22" xfId="0" applyNumberFormat="1" applyFont="1" applyFill="1" applyBorder="1" applyAlignment="1" applyProtection="1">
      <alignment horizontal="center" vertical="center"/>
    </xf>
    <xf numFmtId="165" fontId="8" fillId="0" borderId="21" xfId="0" applyNumberFormat="1" applyFont="1" applyFill="1" applyBorder="1" applyAlignment="1" applyProtection="1">
      <alignment horizontal="center" vertical="center"/>
    </xf>
    <xf numFmtId="165" fontId="8" fillId="0" borderId="23" xfId="0" applyNumberFormat="1" applyFont="1" applyFill="1" applyBorder="1" applyAlignment="1" applyProtection="1">
      <alignment horizontal="center" vertical="center"/>
    </xf>
    <xf numFmtId="164" fontId="8" fillId="0" borderId="6" xfId="0" applyNumberFormat="1" applyFont="1" applyFill="1" applyBorder="1" applyAlignment="1">
      <alignment wrapText="1"/>
      <protection locked="0"/>
    </xf>
    <xf numFmtId="49" fontId="11" fillId="0" borderId="6" xfId="0" applyNumberFormat="1" applyFont="1" applyFill="1" applyBorder="1" applyAlignment="1">
      <alignment horizontal="center" vertical="center"/>
      <protection locked="0"/>
    </xf>
    <xf numFmtId="164" fontId="11" fillId="0" borderId="3" xfId="0" applyNumberFormat="1" applyFont="1" applyFill="1" applyBorder="1" applyAlignment="1">
      <alignment vertical="center" wrapText="1"/>
      <protection locked="0"/>
    </xf>
    <xf numFmtId="165" fontId="11" fillId="0" borderId="40" xfId="0" applyNumberFormat="1" applyFont="1" applyFill="1" applyBorder="1" applyAlignment="1" applyProtection="1">
      <alignment horizontal="center" vertical="center"/>
    </xf>
    <xf numFmtId="165" fontId="11" fillId="0" borderId="21" xfId="0" applyNumberFormat="1" applyFont="1" applyFill="1" applyBorder="1" applyAlignment="1" applyProtection="1">
      <alignment horizontal="center" vertical="center"/>
    </xf>
    <xf numFmtId="165" fontId="11" fillId="0" borderId="23" xfId="0" applyNumberFormat="1" applyFont="1" applyFill="1" applyBorder="1" applyAlignment="1" applyProtection="1">
      <alignment horizontal="center" vertical="center"/>
    </xf>
    <xf numFmtId="0" fontId="24" fillId="0" borderId="0" xfId="0" applyFont="1" applyFill="1">
      <protection locked="0"/>
    </xf>
    <xf numFmtId="49" fontId="6" fillId="0" borderId="6" xfId="0" applyNumberFormat="1" applyFont="1" applyFill="1" applyBorder="1" applyAlignment="1">
      <alignment horizontal="center" vertical="center" wrapText="1"/>
      <protection locked="0"/>
    </xf>
    <xf numFmtId="49" fontId="11" fillId="0" borderId="25" xfId="0" applyNumberFormat="1" applyFont="1" applyFill="1" applyBorder="1" applyAlignment="1">
      <alignment horizontal="center" vertical="center"/>
      <protection locked="0"/>
    </xf>
    <xf numFmtId="49" fontId="11" fillId="0" borderId="6" xfId="0" applyNumberFormat="1" applyFont="1" applyFill="1" applyBorder="1" applyAlignment="1">
      <alignment horizontal="center" vertical="center" wrapText="1"/>
      <protection locked="0"/>
    </xf>
    <xf numFmtId="49" fontId="6" fillId="0" borderId="14" xfId="0" applyNumberFormat="1" applyFont="1" applyFill="1" applyBorder="1" applyAlignment="1">
      <alignment horizontal="center" vertical="center"/>
      <protection locked="0"/>
    </xf>
    <xf numFmtId="164" fontId="11" fillId="0" borderId="31" xfId="0" applyNumberFormat="1" applyFont="1" applyFill="1" applyBorder="1" applyAlignment="1">
      <alignment horizontal="left" vertical="center" wrapText="1"/>
      <protection locked="0"/>
    </xf>
    <xf numFmtId="49" fontId="16" fillId="0" borderId="15" xfId="0" applyNumberFormat="1" applyFont="1" applyFill="1" applyBorder="1" applyAlignment="1">
      <alignment horizontal="center" vertical="center"/>
      <protection locked="0"/>
    </xf>
    <xf numFmtId="164" fontId="11" fillId="0" borderId="6" xfId="0" applyNumberFormat="1" applyFont="1" applyFill="1" applyBorder="1" applyAlignment="1">
      <alignment horizontal="left" vertical="center" wrapText="1"/>
      <protection locked="0"/>
    </xf>
    <xf numFmtId="0" fontId="19" fillId="0" borderId="3" xfId="0" applyFont="1" applyFill="1" applyBorder="1" applyAlignment="1">
      <alignment horizontal="center" vertical="center"/>
      <protection locked="0"/>
    </xf>
    <xf numFmtId="0" fontId="23" fillId="0" borderId="0" xfId="0" applyFont="1" applyFill="1">
      <protection locked="0"/>
    </xf>
    <xf numFmtId="0" fontId="16" fillId="0" borderId="1" xfId="0" applyFont="1" applyFill="1" applyBorder="1" applyAlignment="1">
      <alignment horizontal="center"/>
      <protection locked="0"/>
    </xf>
    <xf numFmtId="49" fontId="6" fillId="0" borderId="1" xfId="0" applyNumberFormat="1" applyFont="1" applyFill="1" applyBorder="1" applyAlignment="1">
      <alignment horizontal="center" vertical="center" wrapText="1"/>
      <protection locked="0"/>
    </xf>
    <xf numFmtId="164" fontId="11" fillId="0" borderId="3" xfId="0" applyNumberFormat="1" applyFont="1" applyFill="1" applyBorder="1" applyAlignment="1">
      <alignment wrapText="1"/>
      <protection locked="0"/>
    </xf>
    <xf numFmtId="0" fontId="7" fillId="0" borderId="15" xfId="0" applyFont="1" applyFill="1" applyBorder="1" applyAlignment="1">
      <alignment horizontal="center" vertical="center"/>
      <protection locked="0"/>
    </xf>
    <xf numFmtId="0" fontId="6" fillId="0" borderId="6" xfId="0" applyFont="1" applyFill="1" applyBorder="1" applyAlignment="1">
      <alignment horizontal="center"/>
      <protection locked="0"/>
    </xf>
    <xf numFmtId="0" fontId="7" fillId="0" borderId="3" xfId="0" applyFont="1" applyFill="1" applyBorder="1" applyAlignment="1">
      <alignment horizontal="center" vertical="center"/>
      <protection locked="0"/>
    </xf>
    <xf numFmtId="0" fontId="6" fillId="0" borderId="14" xfId="0" applyFont="1" applyFill="1" applyBorder="1" applyAlignment="1">
      <alignment horizontal="center"/>
      <protection locked="0"/>
    </xf>
    <xf numFmtId="0" fontId="19" fillId="0" borderId="1" xfId="0" applyFont="1" applyFill="1" applyBorder="1" applyAlignment="1">
      <alignment horizontal="center"/>
      <protection locked="0"/>
    </xf>
    <xf numFmtId="0" fontId="6" fillId="0" borderId="3" xfId="0" applyFont="1" applyFill="1" applyBorder="1" applyAlignment="1">
      <alignment horizontal="center"/>
      <protection locked="0"/>
    </xf>
    <xf numFmtId="164" fontId="11" fillId="0" borderId="1" xfId="0" applyNumberFormat="1" applyFont="1" applyFill="1" applyBorder="1" applyAlignment="1">
      <alignment wrapText="1"/>
      <protection locked="0"/>
    </xf>
    <xf numFmtId="164" fontId="11" fillId="0" borderId="16" xfId="0" applyNumberFormat="1" applyFont="1" applyFill="1" applyBorder="1" applyAlignment="1">
      <alignment wrapText="1"/>
      <protection locked="0"/>
    </xf>
    <xf numFmtId="164" fontId="7" fillId="0" borderId="16" xfId="0" applyNumberFormat="1" applyFont="1" applyFill="1" applyBorder="1" applyAlignment="1">
      <alignment vertical="center" wrapText="1"/>
      <protection locked="0"/>
    </xf>
    <xf numFmtId="49" fontId="6" fillId="0" borderId="15" xfId="0" applyNumberFormat="1" applyFont="1" applyFill="1" applyBorder="1" applyAlignment="1">
      <alignment horizontal="center"/>
      <protection locked="0"/>
    </xf>
    <xf numFmtId="164" fontId="7" fillId="0" borderId="1" xfId="0" applyNumberFormat="1" applyFont="1" applyFill="1" applyBorder="1" applyAlignment="1">
      <alignment horizontal="left" vertical="center" wrapText="1"/>
      <protection locked="0"/>
    </xf>
    <xf numFmtId="49" fontId="6" fillId="0" borderId="3" xfId="0" applyNumberFormat="1" applyFont="1" applyFill="1" applyBorder="1" applyAlignment="1">
      <alignment horizontal="center"/>
      <protection locked="0"/>
    </xf>
    <xf numFmtId="164" fontId="11" fillId="0" borderId="14" xfId="0" applyNumberFormat="1" applyFont="1" applyFill="1" applyBorder="1" applyAlignment="1">
      <alignment horizontal="left" vertical="center" wrapText="1"/>
      <protection locked="0"/>
    </xf>
    <xf numFmtId="164" fontId="11" fillId="0" borderId="15" xfId="0" applyNumberFormat="1" applyFont="1" applyFill="1" applyBorder="1" applyAlignment="1">
      <alignment horizontal="left" vertical="center" wrapText="1"/>
      <protection locked="0"/>
    </xf>
    <xf numFmtId="49" fontId="11" fillId="0" borderId="1" xfId="0" applyNumberFormat="1" applyFont="1" applyFill="1" applyBorder="1" applyAlignment="1">
      <alignment horizontal="center" vertical="center" wrapText="1"/>
      <protection locked="0"/>
    </xf>
    <xf numFmtId="0" fontId="7" fillId="0" borderId="14" xfId="0" applyFont="1" applyFill="1" applyBorder="1" applyAlignment="1">
      <alignment horizontal="center"/>
      <protection locked="0"/>
    </xf>
    <xf numFmtId="0" fontId="19" fillId="0" borderId="14" xfId="0" applyFont="1" applyFill="1" applyBorder="1" applyAlignment="1">
      <alignment horizontal="center" vertical="center"/>
      <protection locked="0"/>
    </xf>
    <xf numFmtId="0" fontId="7" fillId="0" borderId="3" xfId="0" applyFont="1" applyFill="1" applyBorder="1" applyAlignment="1">
      <alignment horizontal="center"/>
      <protection locked="0"/>
    </xf>
    <xf numFmtId="0" fontId="6" fillId="0" borderId="6" xfId="0" applyFont="1" applyFill="1" applyBorder="1" applyAlignment="1">
      <alignment horizontal="center" vertical="center" wrapText="1"/>
      <protection locked="0"/>
    </xf>
    <xf numFmtId="164" fontId="6" fillId="0" borderId="6" xfId="0" applyNumberFormat="1" applyFont="1" applyFill="1" applyBorder="1" applyAlignment="1">
      <alignment wrapText="1"/>
      <protection locked="0"/>
    </xf>
    <xf numFmtId="49" fontId="6" fillId="0" borderId="31" xfId="0" applyNumberFormat="1" applyFont="1" applyFill="1" applyBorder="1" applyAlignment="1">
      <alignment horizontal="center"/>
      <protection locked="0"/>
    </xf>
    <xf numFmtId="49" fontId="6" fillId="0" borderId="31" xfId="0" applyNumberFormat="1" applyFont="1" applyFill="1" applyBorder="1" applyAlignment="1">
      <alignment horizontal="center" vertical="center"/>
      <protection locked="0"/>
    </xf>
    <xf numFmtId="165" fontId="6" fillId="0" borderId="54" xfId="0" applyNumberFormat="1" applyFont="1" applyFill="1" applyBorder="1" applyAlignment="1" applyProtection="1">
      <alignment horizontal="center" vertical="center"/>
    </xf>
    <xf numFmtId="165" fontId="6" fillId="0" borderId="53" xfId="0" applyNumberFormat="1" applyFont="1" applyFill="1" applyBorder="1" applyAlignment="1" applyProtection="1">
      <alignment horizontal="center" vertical="center"/>
    </xf>
    <xf numFmtId="165" fontId="6" fillId="0" borderId="37" xfId="0" applyNumberFormat="1" applyFont="1" applyFill="1" applyBorder="1" applyAlignment="1" applyProtection="1">
      <alignment horizontal="center" vertical="center"/>
    </xf>
    <xf numFmtId="0" fontId="7" fillId="0" borderId="48" xfId="0" applyFont="1" applyFill="1" applyBorder="1" applyAlignment="1">
      <alignment horizontal="center"/>
      <protection locked="0"/>
    </xf>
    <xf numFmtId="164" fontId="7" fillId="0" borderId="44" xfId="0" applyNumberFormat="1" applyFont="1" applyFill="1" applyBorder="1" applyAlignment="1">
      <alignment vertical="center"/>
      <protection locked="0"/>
    </xf>
    <xf numFmtId="164" fontId="7" fillId="0" borderId="44" xfId="0" applyNumberFormat="1" applyFont="1" applyFill="1" applyBorder="1" applyAlignment="1">
      <alignment horizontal="center" vertical="center"/>
      <protection locked="0"/>
    </xf>
    <xf numFmtId="165" fontId="7" fillId="0" borderId="55" xfId="0" applyNumberFormat="1" applyFont="1" applyFill="1" applyBorder="1" applyAlignment="1" applyProtection="1">
      <alignment horizontal="center" vertical="center"/>
    </xf>
    <xf numFmtId="165" fontId="7" fillId="0" borderId="52" xfId="0" applyNumberFormat="1" applyFont="1" applyFill="1" applyBorder="1" applyAlignment="1" applyProtection="1">
      <alignment horizontal="center" vertical="center"/>
    </xf>
    <xf numFmtId="165" fontId="7" fillId="0" borderId="61" xfId="0" applyNumberFormat="1" applyFont="1" applyFill="1" applyBorder="1" applyAlignment="1" applyProtection="1">
      <alignment horizontal="center" vertical="center"/>
    </xf>
    <xf numFmtId="0" fontId="7" fillId="0" borderId="6" xfId="0" applyFont="1" applyFill="1" applyBorder="1" applyAlignment="1">
      <alignment horizontal="center"/>
      <protection locked="0"/>
    </xf>
    <xf numFmtId="164" fontId="6" fillId="0" borderId="4" xfId="0" applyNumberFormat="1" applyFont="1" applyFill="1" applyBorder="1">
      <protection locked="0"/>
    </xf>
    <xf numFmtId="164" fontId="7" fillId="0" borderId="15" xfId="0" applyNumberFormat="1" applyFont="1" applyFill="1" applyBorder="1" applyAlignment="1">
      <alignment horizontal="center" vertical="center"/>
      <protection locked="0"/>
    </xf>
    <xf numFmtId="165" fontId="6" fillId="0" borderId="4" xfId="0" applyNumberFormat="1" applyFont="1" applyFill="1" applyBorder="1" applyAlignment="1" applyProtection="1">
      <alignment horizontal="center" vertical="center"/>
    </xf>
    <xf numFmtId="165" fontId="6" fillId="0" borderId="19" xfId="0" applyNumberFormat="1" applyFont="1" applyFill="1" applyBorder="1" applyAlignment="1" applyProtection="1">
      <alignment horizontal="center" vertical="center"/>
    </xf>
    <xf numFmtId="165" fontId="6" fillId="0" borderId="18" xfId="0" applyNumberFormat="1" applyFont="1" applyFill="1" applyBorder="1" applyAlignment="1" applyProtection="1">
      <alignment horizontal="center" vertical="center"/>
    </xf>
    <xf numFmtId="165" fontId="6" fillId="0" borderId="20" xfId="0" applyNumberFormat="1" applyFont="1" applyFill="1" applyBorder="1" applyAlignment="1" applyProtection="1">
      <alignment horizontal="center" vertical="center"/>
    </xf>
    <xf numFmtId="0" fontId="7" fillId="0" borderId="1" xfId="0" applyFont="1" applyFill="1" applyBorder="1" applyAlignment="1">
      <alignment horizontal="center"/>
      <protection locked="0"/>
    </xf>
    <xf numFmtId="164" fontId="6" fillId="0" borderId="40" xfId="0" applyNumberFormat="1" applyFont="1" applyFill="1" applyBorder="1">
      <protection locked="0"/>
    </xf>
    <xf numFmtId="164" fontId="7" fillId="0" borderId="3" xfId="0" applyNumberFormat="1" applyFont="1" applyFill="1" applyBorder="1" applyAlignment="1">
      <alignment horizontal="center" vertical="center"/>
      <protection locked="0"/>
    </xf>
    <xf numFmtId="0" fontId="7" fillId="0" borderId="16" xfId="0" applyFont="1" applyFill="1" applyBorder="1" applyAlignment="1">
      <alignment horizontal="center"/>
      <protection locked="0"/>
    </xf>
    <xf numFmtId="164" fontId="11" fillId="0" borderId="54" xfId="0" applyNumberFormat="1" applyFont="1" applyFill="1" applyBorder="1">
      <protection locked="0"/>
    </xf>
    <xf numFmtId="164" fontId="8" fillId="0" borderId="14" xfId="0" applyNumberFormat="1" applyFont="1" applyFill="1" applyBorder="1" applyAlignment="1">
      <alignment horizontal="center" vertical="center"/>
      <protection locked="0"/>
    </xf>
    <xf numFmtId="165" fontId="11" fillId="0" borderId="54" xfId="0" applyNumberFormat="1" applyFont="1" applyFill="1" applyBorder="1" applyAlignment="1" applyProtection="1">
      <alignment horizontal="center" vertical="center"/>
    </xf>
    <xf numFmtId="165" fontId="11" fillId="0" borderId="53" xfId="0" applyNumberFormat="1" applyFont="1" applyFill="1" applyBorder="1" applyAlignment="1" applyProtection="1">
      <alignment horizontal="center" vertical="center"/>
    </xf>
    <xf numFmtId="165" fontId="11" fillId="0" borderId="57" xfId="0" applyNumberFormat="1" applyFont="1" applyFill="1" applyBorder="1" applyAlignment="1" applyProtection="1">
      <alignment horizontal="center" vertical="center"/>
    </xf>
    <xf numFmtId="165" fontId="11" fillId="0" borderId="37" xfId="0" applyNumberFormat="1" applyFont="1" applyFill="1" applyBorder="1" applyAlignment="1" applyProtection="1">
      <alignment horizontal="center" vertical="center"/>
    </xf>
    <xf numFmtId="164" fontId="6" fillId="0" borderId="54" xfId="0" applyNumberFormat="1" applyFont="1" applyFill="1" applyBorder="1">
      <protection locked="0"/>
    </xf>
    <xf numFmtId="164" fontId="7" fillId="0" borderId="14" xfId="0" applyNumberFormat="1" applyFont="1" applyFill="1" applyBorder="1" applyAlignment="1">
      <alignment horizontal="center" vertical="center"/>
      <protection locked="0"/>
    </xf>
    <xf numFmtId="0" fontId="7" fillId="0" borderId="44" xfId="0" applyFont="1" applyFill="1" applyBorder="1" applyAlignment="1">
      <alignment horizontal="center"/>
      <protection locked="0"/>
    </xf>
    <xf numFmtId="164" fontId="19" fillId="0" borderId="45" xfId="0" applyNumberFormat="1" applyFont="1" applyFill="1" applyBorder="1" applyAlignment="1">
      <alignment vertical="center" wrapText="1"/>
      <protection locked="0"/>
    </xf>
    <xf numFmtId="165" fontId="6" fillId="0" borderId="51" xfId="0" applyNumberFormat="1" applyFont="1" applyFill="1" applyBorder="1" applyAlignment="1" applyProtection="1">
      <alignment horizontal="center" vertical="center"/>
    </xf>
    <xf numFmtId="0" fontId="7" fillId="0" borderId="31" xfId="0" applyFont="1" applyFill="1" applyBorder="1" applyAlignment="1">
      <alignment horizontal="center"/>
      <protection locked="0"/>
    </xf>
    <xf numFmtId="164" fontId="19" fillId="0" borderId="0" xfId="0" applyNumberFormat="1" applyFont="1" applyFill="1" applyAlignment="1">
      <alignment vertical="center"/>
      <protection locked="0"/>
    </xf>
    <xf numFmtId="165" fontId="7" fillId="0" borderId="49" xfId="0" applyNumberFormat="1" applyFont="1" applyFill="1" applyBorder="1" applyAlignment="1" applyProtection="1">
      <alignment horizontal="center" vertical="center"/>
    </xf>
    <xf numFmtId="165" fontId="7" fillId="0" borderId="50" xfId="0" applyNumberFormat="1" applyFont="1" applyFill="1" applyBorder="1" applyAlignment="1" applyProtection="1">
      <alignment horizontal="center" vertical="center"/>
    </xf>
    <xf numFmtId="165" fontId="7" fillId="0" borderId="26" xfId="0" applyNumberFormat="1" applyFont="1" applyFill="1" applyBorder="1" applyAlignment="1" applyProtection="1">
      <alignment horizontal="center" vertical="center"/>
    </xf>
    <xf numFmtId="0" fontId="16" fillId="0" borderId="7" xfId="0" applyFont="1" applyFill="1" applyBorder="1" applyAlignment="1">
      <alignment vertical="top"/>
      <protection locked="0"/>
    </xf>
    <xf numFmtId="0" fontId="6" fillId="0" borderId="30" xfId="0" applyFont="1" applyFill="1" applyBorder="1" applyAlignment="1">
      <alignment vertical="top"/>
      <protection locked="0"/>
    </xf>
    <xf numFmtId="165" fontId="6" fillId="0" borderId="12" xfId="0" applyNumberFormat="1" applyFont="1" applyFill="1" applyBorder="1" applyAlignment="1" applyProtection="1">
      <alignment horizontal="center" vertical="center"/>
    </xf>
    <xf numFmtId="165" fontId="6" fillId="0" borderId="8" xfId="0" applyNumberFormat="1" applyFont="1" applyFill="1" applyBorder="1" applyAlignment="1" applyProtection="1">
      <alignment horizontal="center" vertical="center"/>
    </xf>
    <xf numFmtId="0" fontId="16" fillId="0" borderId="6" xfId="0" applyFont="1" applyFill="1" applyBorder="1" applyAlignment="1">
      <alignment vertical="top"/>
      <protection locked="0"/>
    </xf>
    <xf numFmtId="0" fontId="6" fillId="0" borderId="40" xfId="0" applyFont="1" applyFill="1" applyBorder="1" applyAlignment="1">
      <alignment horizontal="left" vertical="center"/>
      <protection locked="0"/>
    </xf>
    <xf numFmtId="0" fontId="16" fillId="0" borderId="1" xfId="0" applyFont="1" applyFill="1" applyBorder="1" applyAlignment="1">
      <alignment vertical="top"/>
      <protection locked="0"/>
    </xf>
    <xf numFmtId="0" fontId="16" fillId="0" borderId="32" xfId="0" applyFont="1" applyFill="1" applyBorder="1" applyAlignment="1">
      <alignment vertical="top"/>
      <protection locked="0"/>
    </xf>
    <xf numFmtId="0" fontId="6" fillId="0" borderId="33" xfId="0" applyFont="1" applyFill="1" applyBorder="1" applyAlignment="1">
      <alignment horizontal="left" vertical="center"/>
      <protection locked="0"/>
    </xf>
    <xf numFmtId="165" fontId="6" fillId="0" borderId="38" xfId="0" applyNumberFormat="1" applyFont="1" applyFill="1" applyBorder="1" applyAlignment="1" applyProtection="1">
      <alignment horizontal="center" vertical="center"/>
    </xf>
    <xf numFmtId="165" fontId="6" fillId="0" borderId="13" xfId="0" applyNumberFormat="1" applyFont="1" applyFill="1" applyBorder="1" applyAlignment="1" applyProtection="1">
      <alignment horizontal="center" vertical="center"/>
    </xf>
    <xf numFmtId="0" fontId="16" fillId="0" borderId="29" xfId="0" applyFont="1" applyFill="1" applyBorder="1" applyAlignment="1">
      <alignment horizontal="center" vertical="center"/>
      <protection locked="0"/>
    </xf>
    <xf numFmtId="164" fontId="11" fillId="0" borderId="17" xfId="0" applyNumberFormat="1" applyFont="1" applyFill="1" applyBorder="1" applyAlignment="1">
      <alignment vertical="center" wrapText="1"/>
      <protection locked="0"/>
    </xf>
    <xf numFmtId="165" fontId="19" fillId="0" borderId="0" xfId="0" applyNumberFormat="1" applyFont="1" applyFill="1" applyBorder="1" applyAlignment="1">
      <alignment horizontal="center"/>
      <protection locked="0"/>
    </xf>
    <xf numFmtId="0" fontId="11" fillId="0" borderId="17" xfId="0" applyFont="1" applyFill="1" applyBorder="1" applyAlignment="1">
      <alignment vertical="center"/>
      <protection locked="0"/>
    </xf>
    <xf numFmtId="0" fontId="11" fillId="0" borderId="17" xfId="0" applyFont="1" applyFill="1" applyBorder="1" applyAlignment="1">
      <alignment vertical="center" wrapText="1"/>
      <protection locked="0"/>
    </xf>
    <xf numFmtId="0" fontId="11" fillId="0" borderId="42" xfId="0" applyFont="1" applyFill="1" applyBorder="1" applyAlignment="1">
      <alignment vertical="center"/>
      <protection locked="0"/>
    </xf>
    <xf numFmtId="0" fontId="13" fillId="0" borderId="4" xfId="0" applyFont="1" applyFill="1" applyBorder="1">
      <protection locked="0"/>
    </xf>
    <xf numFmtId="0" fontId="1" fillId="0" borderId="0" xfId="0" applyFont="1" applyFill="1" applyAlignment="1">
      <alignment horizontal="center"/>
      <protection locked="0"/>
    </xf>
    <xf numFmtId="0" fontId="1" fillId="0" borderId="0" xfId="0" applyFont="1" applyFill="1">
      <protection locked="0"/>
    </xf>
    <xf numFmtId="165" fontId="1" fillId="0" borderId="0" xfId="0" applyNumberFormat="1" applyFont="1" applyFill="1">
      <protection locked="0"/>
    </xf>
    <xf numFmtId="0" fontId="26" fillId="0" borderId="0" xfId="0" applyFont="1" applyFill="1" applyAlignment="1">
      <alignment horizontal="center"/>
      <protection locked="0"/>
    </xf>
    <xf numFmtId="0" fontId="26" fillId="0" borderId="0" xfId="0" applyFont="1" applyFill="1">
      <protection locked="0"/>
    </xf>
    <xf numFmtId="0" fontId="26" fillId="0" borderId="0" xfId="0" applyFont="1" applyFill="1" applyAlignment="1">
      <alignment horizontal="center" vertical="center"/>
      <protection locked="0"/>
    </xf>
    <xf numFmtId="165" fontId="26" fillId="0" borderId="0" xfId="0" applyNumberFormat="1" applyFont="1" applyFill="1">
      <protection locked="0"/>
    </xf>
    <xf numFmtId="164" fontId="1" fillId="0" borderId="0" xfId="0" applyNumberFormat="1" applyFont="1" applyFill="1">
      <protection locked="0"/>
    </xf>
    <xf numFmtId="165" fontId="1" fillId="0" borderId="0" xfId="0" applyNumberFormat="1" applyFont="1" applyFill="1" applyAlignment="1">
      <alignment horizontal="right"/>
      <protection locked="0"/>
    </xf>
    <xf numFmtId="0" fontId="3" fillId="0" borderId="0" xfId="0" applyFont="1" applyFill="1" applyAlignment="1">
      <alignment horizontal="center" vertical="center" wrapText="1"/>
      <protection locked="0"/>
    </xf>
    <xf numFmtId="0" fontId="3" fillId="0" borderId="0" xfId="0" applyFont="1" applyFill="1" applyAlignment="1">
      <alignment horizontal="center" vertical="center"/>
      <protection locked="0"/>
    </xf>
    <xf numFmtId="0" fontId="4" fillId="0" borderId="5" xfId="0" applyFont="1" applyFill="1" applyBorder="1" applyAlignment="1">
      <alignment horizontal="center" vertical="center" wrapText="1"/>
      <protection locked="0"/>
    </xf>
    <xf numFmtId="0" fontId="4" fillId="0" borderId="7" xfId="0" applyFont="1" applyFill="1" applyBorder="1" applyAlignment="1">
      <alignment horizontal="center" vertical="center"/>
      <protection locked="0"/>
    </xf>
    <xf numFmtId="1" fontId="4" fillId="0" borderId="7" xfId="0" applyNumberFormat="1" applyFont="1" applyFill="1" applyBorder="1" applyAlignment="1">
      <alignment horizontal="center" vertical="center" wrapText="1"/>
      <protection locked="0"/>
    </xf>
    <xf numFmtId="1" fontId="6" fillId="0" borderId="5" xfId="0" applyNumberFormat="1" applyFont="1" applyFill="1" applyBorder="1" applyAlignment="1">
      <alignment horizontal="center" vertical="center" wrapText="1"/>
      <protection locked="0"/>
    </xf>
    <xf numFmtId="1" fontId="4" fillId="0" borderId="12" xfId="0" applyNumberFormat="1" applyFont="1" applyFill="1" applyBorder="1" applyAlignment="1">
      <alignment horizontal="center" vertical="center"/>
      <protection locked="0"/>
    </xf>
    <xf numFmtId="1" fontId="6" fillId="0" borderId="8" xfId="0" applyNumberFormat="1" applyFont="1" applyFill="1" applyBorder="1" applyAlignment="1">
      <alignment horizontal="center" vertical="center"/>
      <protection locked="0"/>
    </xf>
    <xf numFmtId="1" fontId="4" fillId="0" borderId="8" xfId="0" applyNumberFormat="1" applyFont="1" applyFill="1" applyBorder="1" applyAlignment="1">
      <alignment horizontal="center" vertical="center"/>
      <protection locked="0"/>
    </xf>
    <xf numFmtId="165" fontId="7" fillId="0" borderId="1" xfId="0" applyNumberFormat="1" applyFont="1" applyFill="1" applyBorder="1" applyAlignment="1">
      <alignment horizontal="center" vertical="center"/>
      <protection locked="0"/>
    </xf>
    <xf numFmtId="165" fontId="7" fillId="0" borderId="3" xfId="0" applyNumberFormat="1" applyFont="1" applyFill="1" applyBorder="1" applyAlignment="1" applyProtection="1">
      <alignment horizontal="center" vertical="center"/>
    </xf>
    <xf numFmtId="0" fontId="19" fillId="0" borderId="0" xfId="0" applyFont="1" applyFill="1">
      <protection locked="0"/>
    </xf>
    <xf numFmtId="0" fontId="1" fillId="0" borderId="3" xfId="0" applyFont="1" applyFill="1" applyBorder="1" applyAlignment="1">
      <alignment horizontal="center" vertical="center"/>
      <protection locked="0"/>
    </xf>
    <xf numFmtId="164" fontId="28" fillId="0" borderId="16" xfId="0" applyNumberFormat="1" applyFont="1" applyFill="1" applyBorder="1" applyAlignment="1">
      <alignment vertical="center" wrapText="1"/>
      <protection locked="0"/>
    </xf>
    <xf numFmtId="164" fontId="4" fillId="0" borderId="1" xfId="0" applyNumberFormat="1" applyFont="1" applyFill="1" applyBorder="1" applyAlignment="1">
      <alignment horizontal="center" vertical="center"/>
      <protection locked="0"/>
    </xf>
    <xf numFmtId="164" fontId="4" fillId="0" borderId="1" xfId="0" applyNumberFormat="1" applyFont="1" applyFill="1" applyBorder="1" applyAlignment="1">
      <alignment vertical="center" wrapText="1"/>
      <protection locked="0"/>
    </xf>
    <xf numFmtId="49" fontId="4" fillId="0" borderId="1" xfId="0" applyNumberFormat="1" applyFont="1" applyFill="1" applyBorder="1" applyAlignment="1">
      <alignment horizontal="center" vertical="center" wrapText="1"/>
      <protection locked="0"/>
    </xf>
    <xf numFmtId="0" fontId="3" fillId="0" borderId="0" xfId="0" applyFont="1" applyFill="1">
      <protection locked="0"/>
    </xf>
    <xf numFmtId="164" fontId="4" fillId="0" borderId="16" xfId="0" applyNumberFormat="1" applyFont="1" applyFill="1" applyBorder="1" applyAlignment="1">
      <alignment vertical="center" wrapText="1"/>
      <protection locked="0"/>
    </xf>
    <xf numFmtId="0" fontId="6" fillId="0" borderId="0" xfId="0" applyFont="1" applyFill="1" applyAlignment="1">
      <alignment vertical="center"/>
      <protection locked="0"/>
    </xf>
    <xf numFmtId="0" fontId="15" fillId="0" borderId="3" xfId="0" applyFont="1" applyFill="1" applyBorder="1" applyAlignment="1">
      <alignment horizontal="center" vertical="center"/>
      <protection locked="0"/>
    </xf>
    <xf numFmtId="165" fontId="8" fillId="0" borderId="3" xfId="0" applyNumberFormat="1" applyFont="1" applyFill="1" applyBorder="1" applyAlignment="1" applyProtection="1">
      <alignment horizontal="center" vertical="center"/>
    </xf>
    <xf numFmtId="0" fontId="15" fillId="0" borderId="0" xfId="0" applyFont="1" applyFill="1">
      <protection locked="0"/>
    </xf>
    <xf numFmtId="164" fontId="6" fillId="0" borderId="1" xfId="0" applyNumberFormat="1" applyFont="1" applyFill="1" applyBorder="1" applyAlignment="1">
      <alignment vertical="center" wrapText="1"/>
      <protection locked="0"/>
    </xf>
    <xf numFmtId="164" fontId="4" fillId="0" borderId="6" xfId="0" applyNumberFormat="1" applyFont="1" applyFill="1" applyBorder="1" applyAlignment="1">
      <alignment vertical="center" wrapText="1"/>
      <protection locked="0"/>
    </xf>
    <xf numFmtId="0" fontId="29" fillId="0" borderId="3" xfId="0" applyFont="1" applyFill="1" applyBorder="1" applyAlignment="1">
      <alignment horizontal="center" vertical="center"/>
      <protection locked="0"/>
    </xf>
    <xf numFmtId="164" fontId="11" fillId="0" borderId="6" xfId="0" applyNumberFormat="1" applyFont="1" applyFill="1" applyBorder="1" applyAlignment="1">
      <alignment vertical="center" wrapText="1"/>
      <protection locked="0"/>
    </xf>
    <xf numFmtId="49" fontId="7" fillId="0" borderId="1" xfId="0" applyNumberFormat="1" applyFont="1" applyFill="1" applyBorder="1" applyAlignment="1">
      <alignment horizontal="center" vertical="center" wrapText="1"/>
      <protection locked="0"/>
    </xf>
    <xf numFmtId="0" fontId="3" fillId="0" borderId="3" xfId="0" applyFont="1" applyFill="1" applyBorder="1" applyAlignment="1">
      <alignment horizontal="center" vertical="center"/>
      <protection locked="0"/>
    </xf>
    <xf numFmtId="164" fontId="4" fillId="0" borderId="1" xfId="0" applyNumberFormat="1" applyFont="1" applyFill="1" applyBorder="1" applyAlignment="1">
      <alignment horizontal="center" vertical="center" wrapText="1"/>
      <protection locked="0"/>
    </xf>
    <xf numFmtId="0" fontId="16" fillId="0" borderId="3" xfId="0" applyFont="1" applyFill="1" applyBorder="1" applyAlignment="1">
      <alignment horizontal="center" vertical="center"/>
      <protection locked="0"/>
    </xf>
    <xf numFmtId="164" fontId="4" fillId="0" borderId="16" xfId="0" applyNumberFormat="1" applyFont="1" applyFill="1" applyBorder="1" applyAlignment="1">
      <alignment horizontal="center" vertical="center" wrapText="1"/>
      <protection locked="0"/>
    </xf>
    <xf numFmtId="164" fontId="5" fillId="0" borderId="1" xfId="0" applyNumberFormat="1" applyFont="1" applyFill="1" applyBorder="1" applyAlignment="1">
      <alignment vertical="center" wrapText="1"/>
      <protection locked="0"/>
    </xf>
    <xf numFmtId="49" fontId="5" fillId="0" borderId="1" xfId="0" applyNumberFormat="1" applyFont="1" applyFill="1" applyBorder="1" applyAlignment="1">
      <alignment horizontal="center" vertical="center" wrapText="1"/>
      <protection locked="0"/>
    </xf>
    <xf numFmtId="0" fontId="1" fillId="0" borderId="14" xfId="0" applyFont="1" applyFill="1" applyBorder="1" applyAlignment="1">
      <alignment horizontal="center" vertical="center"/>
      <protection locked="0"/>
    </xf>
    <xf numFmtId="49" fontId="4" fillId="0" borderId="16" xfId="0" applyNumberFormat="1" applyFont="1" applyFill="1" applyBorder="1" applyAlignment="1">
      <alignment horizontal="center" vertical="center" wrapText="1"/>
      <protection locked="0"/>
    </xf>
    <xf numFmtId="165" fontId="7" fillId="0" borderId="14" xfId="0" applyNumberFormat="1" applyFont="1" applyFill="1" applyBorder="1" applyAlignment="1" applyProtection="1">
      <alignment horizontal="center" vertical="center"/>
    </xf>
    <xf numFmtId="0" fontId="5" fillId="0" borderId="48" xfId="0" applyFont="1" applyFill="1" applyBorder="1" applyAlignment="1">
      <alignment horizontal="center" vertical="center"/>
      <protection locked="0"/>
    </xf>
    <xf numFmtId="164" fontId="5" fillId="0" borderId="44" xfId="0" applyNumberFormat="1" applyFont="1" applyFill="1" applyBorder="1" applyAlignment="1">
      <alignment vertical="center"/>
      <protection locked="0"/>
    </xf>
    <xf numFmtId="164" fontId="5" fillId="0" borderId="44" xfId="0" applyNumberFormat="1" applyFont="1" applyFill="1" applyBorder="1" applyAlignment="1">
      <alignment horizontal="center" vertical="center"/>
      <protection locked="0"/>
    </xf>
    <xf numFmtId="165" fontId="7" fillId="0" borderId="44" xfId="0" applyNumberFormat="1" applyFont="1" applyFill="1" applyBorder="1" applyAlignment="1" applyProtection="1">
      <alignment horizontal="center" vertical="center"/>
    </xf>
    <xf numFmtId="0" fontId="5" fillId="0" borderId="0" xfId="0" applyFont="1" applyFill="1">
      <protection locked="0"/>
    </xf>
    <xf numFmtId="0" fontId="1" fillId="0" borderId="5" xfId="0" applyFont="1" applyFill="1" applyBorder="1" applyAlignment="1">
      <alignment horizontal="center" vertical="center"/>
      <protection locked="0"/>
    </xf>
    <xf numFmtId="0" fontId="1" fillId="0" borderId="59" xfId="0" applyFont="1" applyFill="1" applyBorder="1" applyAlignment="1">
      <alignment vertical="center"/>
      <protection locked="0"/>
    </xf>
    <xf numFmtId="165" fontId="7" fillId="0" borderId="5" xfId="0" applyNumberFormat="1" applyFont="1" applyFill="1" applyBorder="1" applyAlignment="1" applyProtection="1">
      <alignment horizontal="center" vertical="center"/>
    </xf>
    <xf numFmtId="0" fontId="4" fillId="0" borderId="36" xfId="0" applyFont="1" applyFill="1" applyBorder="1" applyAlignment="1">
      <alignment vertical="center"/>
      <protection locked="0"/>
    </xf>
    <xf numFmtId="49" fontId="4" fillId="0" borderId="3" xfId="0" applyNumberFormat="1" applyFont="1" applyFill="1" applyBorder="1" applyAlignment="1">
      <alignment horizontal="center" vertical="center" wrapText="1"/>
      <protection locked="0"/>
    </xf>
    <xf numFmtId="0" fontId="1" fillId="0" borderId="10" xfId="0" applyFont="1" applyFill="1" applyBorder="1" applyAlignment="1">
      <alignment horizontal="center" vertical="center"/>
      <protection locked="0"/>
    </xf>
    <xf numFmtId="0" fontId="4" fillId="0" borderId="60" xfId="0" applyFont="1" applyFill="1" applyBorder="1" applyAlignment="1">
      <alignment vertical="center"/>
      <protection locked="0"/>
    </xf>
    <xf numFmtId="49" fontId="4" fillId="0" borderId="10" xfId="0" applyNumberFormat="1" applyFont="1" applyFill="1" applyBorder="1" applyAlignment="1">
      <alignment horizontal="center" vertical="center" wrapText="1"/>
      <protection locked="0"/>
    </xf>
    <xf numFmtId="165" fontId="7" fillId="0" borderId="10" xfId="0" applyNumberFormat="1" applyFont="1" applyFill="1" applyBorder="1" applyAlignment="1" applyProtection="1">
      <alignment horizontal="center" vertical="center"/>
    </xf>
    <xf numFmtId="0" fontId="1" fillId="0" borderId="4" xfId="0" applyFont="1" applyFill="1" applyBorder="1" applyAlignment="1">
      <alignment horizontal="center" vertical="center"/>
      <protection locked="0"/>
    </xf>
    <xf numFmtId="165" fontId="1" fillId="0" borderId="4" xfId="0" applyNumberFormat="1" applyFont="1" applyFill="1" applyBorder="1">
      <protection locked="0"/>
    </xf>
    <xf numFmtId="165" fontId="1" fillId="0" borderId="0" xfId="0" applyNumberFormat="1" applyFont="1" applyFill="1" applyAlignment="1">
      <alignment horizontal="center" vertical="center"/>
      <protection locked="0"/>
    </xf>
    <xf numFmtId="164" fontId="19" fillId="0" borderId="0" xfId="0" applyNumberFormat="1" applyFont="1" applyFill="1">
      <protection locked="0"/>
    </xf>
    <xf numFmtId="0" fontId="30" fillId="0" borderId="0" xfId="0" applyFont="1" applyFill="1">
      <protection locked="0"/>
    </xf>
    <xf numFmtId="0" fontId="31" fillId="0" borderId="0" xfId="0" applyFont="1" applyFill="1">
      <protection locked="0"/>
    </xf>
    <xf numFmtId="164" fontId="21" fillId="0" borderId="0" xfId="0" applyNumberFormat="1" applyFont="1" applyFill="1">
      <protection locked="0"/>
    </xf>
    <xf numFmtId="0" fontId="22" fillId="0" borderId="0" xfId="0" applyFont="1" applyFill="1">
      <protection locked="0"/>
    </xf>
    <xf numFmtId="0" fontId="32" fillId="0" borderId="0" xfId="0" applyFont="1" applyFill="1">
      <protection locked="0"/>
    </xf>
    <xf numFmtId="164" fontId="16" fillId="0" borderId="0" xfId="0" applyNumberFormat="1" applyFont="1" applyFill="1" applyAlignment="1">
      <alignment horizontal="right"/>
      <protection locked="0"/>
    </xf>
    <xf numFmtId="0" fontId="16" fillId="0" borderId="5" xfId="0" applyFont="1" applyFill="1" applyBorder="1" applyAlignment="1">
      <alignment horizontal="center" vertical="center" wrapText="1"/>
      <protection locked="0"/>
    </xf>
    <xf numFmtId="0" fontId="16" fillId="0" borderId="7" xfId="0" applyFont="1" applyFill="1" applyBorder="1" applyAlignment="1">
      <alignment horizontal="center"/>
      <protection locked="0"/>
    </xf>
    <xf numFmtId="1" fontId="16" fillId="0" borderId="59" xfId="0" applyNumberFormat="1" applyFont="1" applyFill="1" applyBorder="1" applyAlignment="1">
      <alignment horizontal="center" vertical="center"/>
      <protection locked="0"/>
    </xf>
    <xf numFmtId="1" fontId="16" fillId="0" borderId="8" xfId="0" applyNumberFormat="1" applyFont="1" applyFill="1" applyBorder="1" applyAlignment="1">
      <alignment horizontal="center" vertical="center"/>
      <protection locked="0"/>
    </xf>
    <xf numFmtId="165" fontId="7" fillId="0" borderId="36" xfId="0" applyNumberFormat="1" applyFont="1" applyFill="1" applyBorder="1" applyAlignment="1" applyProtection="1">
      <alignment horizontal="center" vertical="center"/>
    </xf>
    <xf numFmtId="165" fontId="7" fillId="0" borderId="17" xfId="0" applyNumberFormat="1" applyFont="1" applyFill="1" applyBorder="1" applyAlignment="1" applyProtection="1">
      <alignment horizontal="center" vertical="center"/>
    </xf>
    <xf numFmtId="0" fontId="19" fillId="0" borderId="25" xfId="0" applyFont="1" applyFill="1" applyBorder="1" applyAlignment="1">
      <alignment horizontal="center" vertical="center"/>
      <protection locked="0"/>
    </xf>
    <xf numFmtId="164" fontId="11" fillId="0" borderId="4" xfId="0" applyNumberFormat="1" applyFont="1" applyFill="1" applyBorder="1" applyAlignment="1">
      <alignment vertical="center" wrapText="1"/>
      <protection locked="0"/>
    </xf>
    <xf numFmtId="164" fontId="6" fillId="0" borderId="4" xfId="0" applyNumberFormat="1" applyFont="1" applyFill="1" applyBorder="1" applyAlignment="1">
      <alignment vertical="center" wrapText="1"/>
      <protection locked="0"/>
    </xf>
    <xf numFmtId="0" fontId="6" fillId="0" borderId="15" xfId="0" applyFont="1" applyFill="1" applyBorder="1" applyAlignment="1">
      <alignment horizontal="center" vertical="center"/>
      <protection locked="0"/>
    </xf>
    <xf numFmtId="164" fontId="6" fillId="0" borderId="22" xfId="0" applyNumberFormat="1" applyFont="1" applyFill="1" applyBorder="1" applyAlignment="1">
      <alignment vertical="center" wrapText="1"/>
      <protection locked="0"/>
    </xf>
    <xf numFmtId="164" fontId="6" fillId="0" borderId="4" xfId="0" applyNumberFormat="1" applyFont="1" applyFill="1" applyBorder="1" applyAlignment="1">
      <alignment horizontal="justify" vertical="justify" wrapText="1"/>
      <protection locked="0"/>
    </xf>
    <xf numFmtId="164" fontId="7" fillId="0" borderId="4" xfId="0" applyNumberFormat="1" applyFont="1" applyFill="1" applyBorder="1" applyAlignment="1">
      <alignment vertical="center" wrapText="1"/>
      <protection locked="0"/>
    </xf>
    <xf numFmtId="165" fontId="6" fillId="0" borderId="17" xfId="0" applyNumberFormat="1" applyFont="1" applyFill="1" applyBorder="1" applyAlignment="1" applyProtection="1">
      <alignment horizontal="center" vertical="center"/>
    </xf>
    <xf numFmtId="0" fontId="7" fillId="0" borderId="1" xfId="0" applyFont="1" applyFill="1" applyBorder="1" applyAlignment="1" applyProtection="1">
      <alignment horizontal="justify" vertical="center" wrapText="1"/>
    </xf>
    <xf numFmtId="164" fontId="6" fillId="0" borderId="1" xfId="0" applyNumberFormat="1" applyFont="1" applyFill="1" applyBorder="1" applyAlignment="1">
      <alignment horizontal="justify" vertical="justify" wrapText="1"/>
      <protection locked="0"/>
    </xf>
    <xf numFmtId="164" fontId="7" fillId="0" borderId="1" xfId="0" applyNumberFormat="1" applyFont="1" applyFill="1" applyBorder="1" applyAlignment="1">
      <alignment horizontal="justify" vertical="center" wrapText="1"/>
      <protection locked="0"/>
    </xf>
    <xf numFmtId="164" fontId="6" fillId="0" borderId="3" xfId="0" applyNumberFormat="1" applyFont="1" applyFill="1" applyBorder="1" applyAlignment="1">
      <alignment vertical="center" wrapText="1"/>
      <protection locked="0"/>
    </xf>
    <xf numFmtId="0" fontId="6" fillId="0" borderId="16" xfId="0" applyFont="1" applyFill="1" applyBorder="1" applyAlignment="1" applyProtection="1">
      <alignment horizontal="justify" vertical="center" wrapText="1"/>
    </xf>
    <xf numFmtId="0" fontId="6" fillId="0" borderId="3" xfId="0" applyFont="1" applyFill="1" applyBorder="1" applyAlignment="1">
      <alignment horizontal="center" vertical="center"/>
      <protection locked="0"/>
    </xf>
    <xf numFmtId="165" fontId="7" fillId="0" borderId="62" xfId="0" applyNumberFormat="1" applyFont="1" applyFill="1" applyBorder="1" applyAlignment="1" applyProtection="1">
      <alignment horizontal="center" vertical="center"/>
    </xf>
    <xf numFmtId="165" fontId="7" fillId="0" borderId="37" xfId="0" applyNumberFormat="1" applyFont="1" applyFill="1" applyBorder="1" applyAlignment="1" applyProtection="1">
      <alignment horizontal="center" vertical="center"/>
    </xf>
    <xf numFmtId="0" fontId="19" fillId="0" borderId="25" xfId="0" applyFont="1" applyFill="1" applyBorder="1" applyAlignment="1">
      <alignment vertical="center"/>
      <protection locked="0"/>
    </xf>
    <xf numFmtId="0" fontId="6" fillId="0" borderId="25" xfId="0" applyFont="1" applyFill="1" applyBorder="1" applyAlignment="1">
      <alignment horizontal="center" vertical="center"/>
      <protection locked="0"/>
    </xf>
    <xf numFmtId="165" fontId="20" fillId="0" borderId="23" xfId="0" applyNumberFormat="1" applyFont="1" applyFill="1" applyBorder="1" applyAlignment="1" applyProtection="1">
      <alignment horizontal="center" vertical="center"/>
    </xf>
    <xf numFmtId="0" fontId="13" fillId="0" borderId="0" xfId="0" applyFont="1" applyFill="1" applyAlignment="1">
      <alignment wrapText="1"/>
      <protection locked="0"/>
    </xf>
    <xf numFmtId="165" fontId="6" fillId="0" borderId="58" xfId="0" applyNumberFormat="1" applyFont="1" applyFill="1" applyBorder="1" applyAlignment="1" applyProtection="1">
      <alignment horizontal="center" vertical="center"/>
    </xf>
    <xf numFmtId="164" fontId="17" fillId="0" borderId="44" xfId="0" applyNumberFormat="1" applyFont="1" applyFill="1" applyBorder="1">
      <protection locked="0"/>
    </xf>
    <xf numFmtId="164" fontId="7" fillId="0" borderId="48" xfId="0" applyNumberFormat="1" applyFont="1" applyFill="1" applyBorder="1" applyAlignment="1">
      <alignment horizontal="center"/>
      <protection locked="0"/>
    </xf>
    <xf numFmtId="165" fontId="7" fillId="0" borderId="45" xfId="0" applyNumberFormat="1" applyFont="1" applyFill="1" applyBorder="1" applyAlignment="1" applyProtection="1">
      <alignment horizontal="center" vertical="center"/>
    </xf>
    <xf numFmtId="164" fontId="6" fillId="0" borderId="6" xfId="0" applyNumberFormat="1" applyFont="1" applyFill="1" applyBorder="1">
      <protection locked="0"/>
    </xf>
    <xf numFmtId="164" fontId="7" fillId="0" borderId="15" xfId="0" applyNumberFormat="1" applyFont="1" applyFill="1" applyBorder="1" applyAlignment="1">
      <alignment horizontal="center"/>
      <protection locked="0"/>
    </xf>
    <xf numFmtId="165" fontId="7" fillId="0" borderId="12" xfId="0" applyNumberFormat="1" applyFont="1" applyFill="1" applyBorder="1" applyAlignment="1" applyProtection="1">
      <alignment horizontal="center" vertical="center"/>
    </xf>
    <xf numFmtId="165" fontId="7" fillId="0" borderId="8" xfId="0" applyNumberFormat="1" applyFont="1" applyFill="1" applyBorder="1" applyAlignment="1" applyProtection="1">
      <alignment horizontal="center" vertical="center"/>
    </xf>
    <xf numFmtId="164" fontId="6" fillId="0" borderId="1" xfId="0" applyNumberFormat="1" applyFont="1" applyFill="1" applyBorder="1">
      <protection locked="0"/>
    </xf>
    <xf numFmtId="164" fontId="6" fillId="0" borderId="3" xfId="0" applyNumberFormat="1" applyFont="1" applyFill="1" applyBorder="1" applyAlignment="1">
      <alignment horizontal="center"/>
      <protection locked="0"/>
    </xf>
    <xf numFmtId="164" fontId="6" fillId="0" borderId="14" xfId="0" applyNumberFormat="1" applyFont="1" applyFill="1" applyBorder="1" applyAlignment="1">
      <alignment horizontal="center"/>
      <protection locked="0"/>
    </xf>
    <xf numFmtId="164" fontId="6" fillId="0" borderId="2" xfId="0" applyNumberFormat="1" applyFont="1" applyFill="1" applyBorder="1">
      <protection locked="0"/>
    </xf>
    <xf numFmtId="164" fontId="6" fillId="0" borderId="10" xfId="0" applyNumberFormat="1" applyFont="1" applyFill="1" applyBorder="1" applyAlignment="1">
      <alignment horizontal="center"/>
      <protection locked="0"/>
    </xf>
    <xf numFmtId="165" fontId="7" fillId="0" borderId="38" xfId="0" applyNumberFormat="1" applyFont="1" applyFill="1" applyBorder="1" applyAlignment="1" applyProtection="1">
      <alignment horizontal="center" vertical="center"/>
    </xf>
    <xf numFmtId="165" fontId="6" fillId="0" borderId="42" xfId="0" applyNumberFormat="1" applyFont="1" applyFill="1" applyBorder="1" applyAlignment="1" applyProtection="1">
      <alignment horizontal="center" vertical="center"/>
    </xf>
    <xf numFmtId="49" fontId="6" fillId="0" borderId="14" xfId="0" applyNumberFormat="1" applyFont="1" applyFill="1" applyBorder="1" applyAlignment="1">
      <alignment horizontal="center" vertical="center"/>
      <protection locked="0"/>
    </xf>
    <xf numFmtId="49" fontId="6" fillId="0" borderId="15" xfId="0" applyNumberFormat="1" applyFont="1" applyFill="1" applyBorder="1" applyAlignment="1">
      <alignment horizontal="center" vertical="center"/>
      <protection locked="0"/>
    </xf>
    <xf numFmtId="164" fontId="11" fillId="0" borderId="14" xfId="0" applyNumberFormat="1" applyFont="1" applyFill="1" applyBorder="1" applyAlignment="1">
      <alignment horizontal="left" vertical="center" wrapText="1"/>
      <protection locked="0"/>
    </xf>
    <xf numFmtId="164" fontId="11" fillId="0" borderId="15" xfId="0" applyNumberFormat="1" applyFont="1" applyFill="1" applyBorder="1" applyAlignment="1">
      <alignment horizontal="left" vertical="center" wrapText="1"/>
      <protection locked="0"/>
    </xf>
    <xf numFmtId="49" fontId="6" fillId="0" borderId="25" xfId="0" applyNumberFormat="1" applyFont="1" applyFill="1" applyBorder="1" applyAlignment="1">
      <alignment horizontal="center" vertical="center"/>
      <protection locked="0"/>
    </xf>
    <xf numFmtId="164" fontId="7" fillId="0" borderId="44" xfId="0" applyNumberFormat="1" applyFont="1" applyFill="1" applyBorder="1" applyAlignment="1">
      <alignment horizontal="center" vertical="center"/>
      <protection locked="0"/>
    </xf>
    <xf numFmtId="164" fontId="7" fillId="0" borderId="45" xfId="0" applyNumberFormat="1" applyFont="1" applyFill="1" applyBorder="1" applyAlignment="1">
      <alignment horizontal="center" vertical="center"/>
      <protection locked="0"/>
    </xf>
    <xf numFmtId="164" fontId="11" fillId="0" borderId="25" xfId="0" applyNumberFormat="1" applyFont="1" applyFill="1" applyBorder="1" applyAlignment="1">
      <alignment horizontal="left" vertical="center" wrapText="1"/>
      <protection locked="0"/>
    </xf>
    <xf numFmtId="0" fontId="16" fillId="0" borderId="1" xfId="0" applyFont="1" applyFill="1" applyBorder="1" applyAlignment="1">
      <alignment horizontal="center" vertical="center"/>
      <protection locked="0"/>
    </xf>
    <xf numFmtId="0" fontId="16" fillId="0" borderId="40" xfId="0" applyFont="1" applyFill="1" applyBorder="1" applyAlignment="1">
      <alignment horizontal="center" vertical="center"/>
      <protection locked="0"/>
    </xf>
    <xf numFmtId="0" fontId="16" fillId="0" borderId="7" xfId="0" applyFont="1" applyFill="1" applyBorder="1" applyAlignment="1">
      <alignment horizontal="center" vertical="center"/>
      <protection locked="0"/>
    </xf>
    <xf numFmtId="0" fontId="16" fillId="0" borderId="34" xfId="0" applyFont="1" applyFill="1" applyBorder="1" applyAlignment="1">
      <alignment horizontal="center" vertical="center"/>
      <protection locked="0"/>
    </xf>
    <xf numFmtId="0" fontId="16" fillId="0" borderId="2" xfId="0" applyFont="1" applyFill="1" applyBorder="1" applyAlignment="1">
      <alignment horizontal="center" vertical="center"/>
      <protection locked="0"/>
    </xf>
    <xf numFmtId="0" fontId="16" fillId="0" borderId="46" xfId="0" applyFont="1" applyFill="1" applyBorder="1" applyAlignment="1">
      <alignment horizontal="center" vertical="center"/>
      <protection locked="0"/>
    </xf>
    <xf numFmtId="164" fontId="11" fillId="0" borderId="14" xfId="0" applyNumberFormat="1" applyFont="1" applyFill="1" applyBorder="1" applyAlignment="1">
      <alignment vertical="center" wrapText="1"/>
      <protection locked="0"/>
    </xf>
    <xf numFmtId="164" fontId="11" fillId="0" borderId="15" xfId="0" applyNumberFormat="1" applyFont="1" applyFill="1" applyBorder="1" applyAlignment="1">
      <alignment vertical="center" wrapText="1"/>
      <protection locked="0"/>
    </xf>
    <xf numFmtId="164" fontId="11" fillId="0" borderId="25" xfId="0" applyNumberFormat="1" applyFont="1" applyFill="1" applyBorder="1" applyAlignment="1">
      <alignment vertical="center" wrapText="1"/>
      <protection locked="0"/>
    </xf>
    <xf numFmtId="164" fontId="11" fillId="0" borderId="14" xfId="0" applyNumberFormat="1" applyFont="1" applyFill="1" applyBorder="1" applyAlignment="1">
      <alignment horizontal="left" wrapText="1"/>
      <protection locked="0"/>
    </xf>
    <xf numFmtId="164" fontId="11" fillId="0" borderId="15" xfId="0" applyNumberFormat="1" applyFont="1" applyFill="1" applyBorder="1" applyAlignment="1">
      <alignment horizontal="left" wrapText="1"/>
      <protection locked="0"/>
    </xf>
    <xf numFmtId="49" fontId="6" fillId="0" borderId="14" xfId="0" applyNumberFormat="1" applyFont="1" applyFill="1" applyBorder="1" applyAlignment="1">
      <alignment horizontal="center"/>
      <protection locked="0"/>
    </xf>
    <xf numFmtId="49" fontId="6" fillId="0" borderId="15" xfId="0" applyNumberFormat="1" applyFont="1" applyFill="1" applyBorder="1" applyAlignment="1">
      <alignment horizontal="center"/>
      <protection locked="0"/>
    </xf>
    <xf numFmtId="165" fontId="17" fillId="0" borderId="0" xfId="0" applyNumberFormat="1" applyFont="1" applyFill="1" applyAlignment="1">
      <alignment horizontal="center"/>
      <protection locked="0"/>
    </xf>
    <xf numFmtId="0" fontId="18" fillId="0" borderId="5" xfId="0" applyFont="1" applyFill="1" applyBorder="1" applyAlignment="1">
      <alignment horizontal="center" vertical="center" textRotation="90" wrapText="1"/>
      <protection locked="0"/>
    </xf>
    <xf numFmtId="0" fontId="18" fillId="0" borderId="3" xfId="0" applyFont="1" applyFill="1" applyBorder="1" applyAlignment="1">
      <alignment horizontal="center" vertical="center" textRotation="90" wrapText="1"/>
      <protection locked="0"/>
    </xf>
    <xf numFmtId="0" fontId="18" fillId="0" borderId="10" xfId="0" applyFont="1" applyFill="1" applyBorder="1" applyAlignment="1">
      <alignment horizontal="center" vertical="center" textRotation="90" wrapText="1"/>
      <protection locked="0"/>
    </xf>
    <xf numFmtId="0" fontId="19" fillId="0" borderId="34" xfId="0" applyFont="1" applyFill="1" applyBorder="1" applyAlignment="1">
      <alignment horizontal="center" vertical="center" wrapText="1"/>
      <protection locked="0"/>
    </xf>
    <xf numFmtId="0" fontId="6" fillId="0" borderId="40" xfId="0" applyFont="1" applyFill="1" applyBorder="1" applyAlignment="1">
      <alignment horizontal="center" vertical="center"/>
      <protection locked="0"/>
    </xf>
    <xf numFmtId="0" fontId="6" fillId="0" borderId="46" xfId="0" applyFont="1" applyFill="1" applyBorder="1">
      <protection locked="0"/>
    </xf>
    <xf numFmtId="0" fontId="19" fillId="0" borderId="5" xfId="0" applyFont="1" applyFill="1" applyBorder="1" applyAlignment="1">
      <alignment horizontal="center" vertical="center" wrapText="1"/>
      <protection locked="0"/>
    </xf>
    <xf numFmtId="0" fontId="19" fillId="0" borderId="3" xfId="0" applyFont="1" applyFill="1" applyBorder="1" applyAlignment="1">
      <alignment horizontal="center" vertical="center" wrapText="1"/>
      <protection locked="0"/>
    </xf>
    <xf numFmtId="0" fontId="19" fillId="0" borderId="10" xfId="0" applyFont="1" applyFill="1" applyBorder="1" applyAlignment="1">
      <alignment horizontal="center" vertical="center" wrapText="1"/>
      <protection locked="0"/>
    </xf>
    <xf numFmtId="0" fontId="19" fillId="0" borderId="5" xfId="0" applyFont="1" applyFill="1" applyBorder="1" applyAlignment="1">
      <alignment horizontal="center" vertical="center" textRotation="90" wrapText="1"/>
      <protection locked="0"/>
    </xf>
    <xf numFmtId="0" fontId="19" fillId="0" borderId="3" xfId="0" applyFont="1" applyFill="1" applyBorder="1" applyAlignment="1">
      <alignment horizontal="center" vertical="center" textRotation="90" wrapText="1"/>
      <protection locked="0"/>
    </xf>
    <xf numFmtId="0" fontId="19" fillId="0" borderId="10" xfId="0" applyFont="1" applyFill="1" applyBorder="1" applyAlignment="1">
      <alignment horizontal="center" vertical="center" textRotation="90" wrapText="1"/>
      <protection locked="0"/>
    </xf>
    <xf numFmtId="165" fontId="19" fillId="0" borderId="12" xfId="0" applyNumberFormat="1" applyFont="1" applyFill="1" applyBorder="1" applyAlignment="1">
      <alignment horizontal="center" vertical="center" wrapText="1"/>
      <protection locked="0"/>
    </xf>
    <xf numFmtId="165" fontId="19" fillId="0" borderId="21" xfId="0" applyNumberFormat="1" applyFont="1" applyFill="1" applyBorder="1" applyAlignment="1">
      <alignment horizontal="center" vertical="center" wrapText="1"/>
      <protection locked="0"/>
    </xf>
    <xf numFmtId="165" fontId="19" fillId="0" borderId="38" xfId="0" applyNumberFormat="1" applyFont="1" applyFill="1" applyBorder="1" applyAlignment="1">
      <alignment horizontal="center" vertical="center" wrapText="1"/>
      <protection locked="0"/>
    </xf>
    <xf numFmtId="165" fontId="19" fillId="0" borderId="59" xfId="0" applyNumberFormat="1" applyFont="1" applyFill="1" applyBorder="1" applyAlignment="1">
      <alignment horizontal="center" vertical="center" wrapText="1"/>
      <protection locked="0"/>
    </xf>
    <xf numFmtId="165" fontId="19" fillId="0" borderId="36" xfId="0" applyNumberFormat="1" applyFont="1" applyFill="1" applyBorder="1" applyAlignment="1">
      <alignment horizontal="center" vertical="center" wrapText="1"/>
      <protection locked="0"/>
    </xf>
    <xf numFmtId="165" fontId="19" fillId="0" borderId="60" xfId="0" applyNumberFormat="1" applyFont="1" applyFill="1" applyBorder="1" applyAlignment="1">
      <alignment horizontal="center" vertical="center" wrapText="1"/>
      <protection locked="0"/>
    </xf>
    <xf numFmtId="165" fontId="16" fillId="0" borderId="8" xfId="0" applyNumberFormat="1" applyFont="1" applyFill="1" applyBorder="1" applyAlignment="1">
      <alignment horizontal="center" vertical="center" wrapText="1"/>
      <protection locked="0"/>
    </xf>
    <xf numFmtId="165" fontId="16" fillId="0" borderId="23" xfId="0" applyNumberFormat="1" applyFont="1" applyFill="1" applyBorder="1" applyAlignment="1">
      <alignment horizontal="center" vertical="center" wrapText="1"/>
      <protection locked="0"/>
    </xf>
    <xf numFmtId="165" fontId="16" fillId="0" borderId="13" xfId="0" applyNumberFormat="1" applyFont="1" applyFill="1" applyBorder="1" applyAlignment="1">
      <alignment horizontal="center" vertical="center" wrapText="1"/>
      <protection locked="0"/>
    </xf>
    <xf numFmtId="165" fontId="3" fillId="0" borderId="21" xfId="0" applyNumberFormat="1" applyFont="1" applyFill="1" applyBorder="1" applyAlignment="1">
      <alignment horizontal="center" vertical="center"/>
      <protection locked="0"/>
    </xf>
    <xf numFmtId="165" fontId="4" fillId="0" borderId="57" xfId="0" applyNumberFormat="1" applyFont="1" applyFill="1" applyBorder="1">
      <protection locked="0"/>
    </xf>
    <xf numFmtId="165" fontId="6" fillId="0" borderId="37" xfId="0" applyNumberFormat="1" applyFont="1" applyFill="1" applyBorder="1">
      <protection locked="0"/>
    </xf>
    <xf numFmtId="165" fontId="2" fillId="0" borderId="0" xfId="0" applyNumberFormat="1" applyFont="1" applyFill="1" applyAlignment="1">
      <alignment horizontal="center" wrapText="1"/>
      <protection locked="0"/>
    </xf>
    <xf numFmtId="0" fontId="3" fillId="0" borderId="24" xfId="0" applyFont="1" applyFill="1" applyBorder="1" applyAlignment="1">
      <alignment horizontal="center" vertical="center" wrapText="1"/>
      <protection locked="0"/>
    </xf>
    <xf numFmtId="0" fontId="3" fillId="0" borderId="25" xfId="0" applyFont="1" applyFill="1" applyBorder="1" applyAlignment="1">
      <alignment horizontal="center" vertical="center" wrapText="1"/>
      <protection locked="0"/>
    </xf>
    <xf numFmtId="0" fontId="3" fillId="0" borderId="27" xfId="0" applyFont="1" applyFill="1" applyBorder="1" applyAlignment="1">
      <alignment horizontal="center" vertical="center" wrapText="1"/>
      <protection locked="0"/>
    </xf>
    <xf numFmtId="0" fontId="3" fillId="0" borderId="7" xfId="0" applyFont="1" applyFill="1" applyBorder="1" applyAlignment="1">
      <alignment horizontal="center" vertical="center" wrapText="1"/>
      <protection locked="0"/>
    </xf>
    <xf numFmtId="0" fontId="4" fillId="0" borderId="1" xfId="0" applyFont="1" applyFill="1" applyBorder="1" applyAlignment="1">
      <alignment horizontal="center" vertical="center"/>
      <protection locked="0"/>
    </xf>
    <xf numFmtId="0" fontId="4" fillId="0" borderId="2" xfId="0" applyFont="1" applyFill="1" applyBorder="1">
      <protection locked="0"/>
    </xf>
    <xf numFmtId="0" fontId="9" fillId="0" borderId="24" xfId="0" applyFont="1" applyFill="1" applyBorder="1" applyAlignment="1">
      <alignment horizontal="center" vertical="center" textRotation="90" wrapText="1"/>
      <protection locked="0"/>
    </xf>
    <xf numFmtId="0" fontId="9" fillId="0" borderId="25" xfId="0" applyFont="1" applyFill="1" applyBorder="1" applyAlignment="1">
      <alignment horizontal="center" vertical="center" textRotation="90" wrapText="1"/>
      <protection locked="0"/>
    </xf>
    <xf numFmtId="0" fontId="9" fillId="0" borderId="27" xfId="0" applyFont="1" applyFill="1" applyBorder="1" applyAlignment="1">
      <alignment horizontal="center" vertical="center" textRotation="90" wrapText="1"/>
      <protection locked="0"/>
    </xf>
    <xf numFmtId="0" fontId="19" fillId="0" borderId="7" xfId="0" applyFont="1" applyFill="1" applyBorder="1" applyAlignment="1">
      <alignment horizontal="center" vertical="center" wrapText="1"/>
      <protection locked="0"/>
    </xf>
    <xf numFmtId="165" fontId="3" fillId="0" borderId="12" xfId="0" applyNumberFormat="1" applyFont="1" applyFill="1" applyBorder="1" applyAlignment="1">
      <alignment horizontal="center" vertical="center" wrapText="1"/>
      <protection locked="0"/>
    </xf>
    <xf numFmtId="165" fontId="3" fillId="0" borderId="8" xfId="0" applyNumberFormat="1" applyFont="1" applyFill="1" applyBorder="1" applyAlignment="1">
      <alignment horizontal="center" vertical="center" wrapText="1"/>
      <protection locked="0"/>
    </xf>
    <xf numFmtId="0" fontId="19" fillId="0" borderId="14" xfId="0" applyFont="1" applyFill="1" applyBorder="1" applyAlignment="1">
      <alignment horizontal="center" vertical="center"/>
      <protection locked="0"/>
    </xf>
    <xf numFmtId="0" fontId="19" fillId="0" borderId="25" xfId="0" applyFont="1" applyFill="1" applyBorder="1" applyAlignment="1">
      <alignment horizontal="center" vertical="center"/>
      <protection locked="0"/>
    </xf>
    <xf numFmtId="0" fontId="19" fillId="0" borderId="15" xfId="0" applyFont="1" applyFill="1" applyBorder="1" applyAlignment="1">
      <alignment horizontal="center" vertical="center"/>
      <protection locked="0"/>
    </xf>
    <xf numFmtId="0" fontId="7" fillId="0" borderId="31" xfId="0" applyFont="1" applyFill="1" applyBorder="1" applyAlignment="1">
      <alignment horizontal="center"/>
      <protection locked="0"/>
    </xf>
    <xf numFmtId="0" fontId="7" fillId="0" borderId="32" xfId="0" applyFont="1" applyFill="1" applyBorder="1" applyAlignment="1">
      <alignment horizontal="center"/>
      <protection locked="0"/>
    </xf>
    <xf numFmtId="165" fontId="17" fillId="0" borderId="0" xfId="0" applyNumberFormat="1" applyFont="1" applyFill="1" applyAlignment="1">
      <alignment horizontal="center" vertical="center" wrapText="1"/>
      <protection locked="0"/>
    </xf>
    <xf numFmtId="0" fontId="19" fillId="0" borderId="24" xfId="0" applyFont="1" applyFill="1" applyBorder="1" applyAlignment="1">
      <alignment horizontal="center" vertical="center" wrapText="1"/>
      <protection locked="0"/>
    </xf>
    <xf numFmtId="0" fontId="19" fillId="0" borderId="25" xfId="0" applyFont="1" applyFill="1" applyBorder="1" applyAlignment="1">
      <alignment horizontal="center" vertical="center" wrapText="1"/>
      <protection locked="0"/>
    </xf>
    <xf numFmtId="0" fontId="19" fillId="0" borderId="27" xfId="0" applyFont="1" applyFill="1" applyBorder="1" applyAlignment="1">
      <alignment horizontal="center" vertical="center" wrapText="1"/>
      <protection locked="0"/>
    </xf>
    <xf numFmtId="0" fontId="18" fillId="0" borderId="24" xfId="0" applyFont="1" applyFill="1" applyBorder="1" applyAlignment="1">
      <alignment horizontal="center" vertical="center" textRotation="90" wrapText="1"/>
      <protection locked="0"/>
    </xf>
    <xf numFmtId="0" fontId="18" fillId="0" borderId="25" xfId="0" applyFont="1" applyFill="1" applyBorder="1" applyAlignment="1">
      <alignment horizontal="center" vertical="center" textRotation="90" wrapText="1"/>
      <protection locked="0"/>
    </xf>
    <xf numFmtId="0" fontId="18" fillId="0" borderId="27" xfId="0" applyFont="1" applyFill="1" applyBorder="1" applyAlignment="1">
      <alignment horizontal="center" vertical="center" textRotation="90" wrapText="1"/>
      <protection locked="0"/>
    </xf>
    <xf numFmtId="164" fontId="19" fillId="0" borderId="7" xfId="0" applyNumberFormat="1" applyFont="1" applyFill="1" applyBorder="1" applyAlignment="1">
      <alignment horizontal="center" vertical="center" wrapText="1"/>
      <protection locked="0"/>
    </xf>
    <xf numFmtId="164" fontId="19" fillId="0" borderId="35" xfId="0" applyNumberFormat="1" applyFont="1" applyFill="1" applyBorder="1" applyAlignment="1">
      <alignment horizontal="center" vertical="center" wrapText="1"/>
      <protection locked="0"/>
    </xf>
    <xf numFmtId="164" fontId="19" fillId="0" borderId="57" xfId="0" applyNumberFormat="1" applyFont="1" applyFill="1" applyBorder="1" applyAlignment="1">
      <alignment horizontal="center" vertical="center"/>
      <protection locked="0"/>
    </xf>
    <xf numFmtId="164" fontId="19" fillId="0" borderId="41" xfId="0" applyNumberFormat="1" applyFont="1" applyFill="1" applyBorder="1" applyAlignment="1">
      <alignment horizontal="center" vertical="center"/>
      <protection locked="0"/>
    </xf>
    <xf numFmtId="164" fontId="16" fillId="0" borderId="37" xfId="0" applyNumberFormat="1" applyFont="1" applyFill="1" applyBorder="1" applyAlignment="1">
      <alignment horizontal="center" vertical="center" wrapText="1"/>
      <protection locked="0"/>
    </xf>
    <xf numFmtId="164" fontId="16" fillId="0" borderId="28" xfId="0" applyNumberFormat="1" applyFont="1" applyFill="1" applyBorder="1" applyAlignment="1">
      <alignment horizontal="center" vertical="center" wrapText="1"/>
      <protection locked="0"/>
    </xf>
    <xf numFmtId="165" fontId="2" fillId="0" borderId="0" xfId="0" applyNumberFormat="1" applyFont="1" applyAlignment="1">
      <alignment horizontal="center" wrapText="1"/>
      <protection locked="0"/>
    </xf>
    <xf numFmtId="0" fontId="3" fillId="0" borderId="24" xfId="0" applyFont="1" applyBorder="1" applyAlignment="1">
      <alignment horizontal="center" vertical="center" wrapText="1"/>
      <protection locked="0"/>
    </xf>
    <xf numFmtId="0" fontId="3" fillId="0" borderId="25" xfId="0" applyFont="1" applyBorder="1" applyAlignment="1">
      <alignment horizontal="center" vertical="center" wrapText="1"/>
      <protection locked="0"/>
    </xf>
    <xf numFmtId="0" fontId="3" fillId="0" borderId="27" xfId="0" applyFont="1" applyBorder="1" applyAlignment="1">
      <alignment horizontal="center" vertical="center" wrapText="1"/>
      <protection locked="0"/>
    </xf>
    <xf numFmtId="0" fontId="3" fillId="0" borderId="7" xfId="0" applyFont="1" applyBorder="1" applyAlignment="1">
      <alignment horizontal="center" vertical="center" wrapText="1"/>
      <protection locked="0"/>
    </xf>
    <xf numFmtId="0" fontId="4" fillId="0" borderId="1" xfId="0" applyFont="1" applyBorder="1" applyAlignment="1">
      <alignment horizontal="center" vertical="center"/>
      <protection locked="0"/>
    </xf>
    <xf numFmtId="0" fontId="4" fillId="0" borderId="2" xfId="0" applyFont="1" applyBorder="1">
      <protection locked="0"/>
    </xf>
    <xf numFmtId="0" fontId="18" fillId="0" borderId="24" xfId="0" applyFont="1" applyBorder="1" applyAlignment="1">
      <alignment horizontal="center" vertical="center" textRotation="90" wrapText="1"/>
      <protection locked="0"/>
    </xf>
    <xf numFmtId="0" fontId="18" fillId="0" borderId="25" xfId="0" applyFont="1" applyBorder="1" applyAlignment="1">
      <alignment horizontal="center" vertical="center" textRotation="90" wrapText="1"/>
      <protection locked="0"/>
    </xf>
    <xf numFmtId="0" fontId="18" fillId="0" borderId="27" xfId="0" applyFont="1" applyBorder="1" applyAlignment="1">
      <alignment horizontal="center" vertical="center" textRotation="90" wrapText="1"/>
      <protection locked="0"/>
    </xf>
    <xf numFmtId="165" fontId="3" fillId="0" borderId="63" xfId="0" applyNumberFormat="1" applyFont="1" applyBorder="1" applyAlignment="1">
      <alignment horizontal="center" vertical="center" wrapText="1"/>
      <protection locked="0"/>
    </xf>
    <xf numFmtId="165" fontId="3" fillId="0" borderId="49" xfId="0" applyNumberFormat="1" applyFont="1" applyBorder="1" applyAlignment="1">
      <alignment horizontal="center" vertical="center" wrapText="1"/>
      <protection locked="0"/>
    </xf>
    <xf numFmtId="165" fontId="3" fillId="0" borderId="41" xfId="0" applyNumberFormat="1" applyFont="1" applyBorder="1" applyAlignment="1">
      <alignment horizontal="center" vertical="center" wrapText="1"/>
      <protection locked="0"/>
    </xf>
    <xf numFmtId="165" fontId="16" fillId="0" borderId="64" xfId="0" applyNumberFormat="1" applyFont="1" applyBorder="1" applyAlignment="1">
      <alignment horizontal="center" vertical="center" wrapText="1"/>
      <protection locked="0"/>
    </xf>
    <xf numFmtId="165" fontId="16" fillId="0" borderId="26" xfId="0" applyNumberFormat="1" applyFont="1" applyBorder="1" applyAlignment="1">
      <alignment horizontal="center" vertical="center" wrapText="1"/>
      <protection locked="0"/>
    </xf>
    <xf numFmtId="165" fontId="16" fillId="0" borderId="28" xfId="0" applyNumberFormat="1" applyFont="1" applyBorder="1" applyAlignment="1">
      <alignment horizontal="center" vertical="center" wrapText="1"/>
      <protection locked="0"/>
    </xf>
    <xf numFmtId="165" fontId="3" fillId="0" borderId="7" xfId="0" applyNumberFormat="1" applyFont="1" applyBorder="1" applyAlignment="1">
      <alignment horizontal="center" vertical="center" wrapText="1"/>
      <protection locked="0"/>
    </xf>
    <xf numFmtId="165" fontId="3" fillId="0" borderId="35" xfId="0" applyNumberFormat="1" applyFont="1" applyBorder="1" applyAlignment="1">
      <alignment horizontal="center" vertical="center" wrapText="1"/>
      <protection locked="0"/>
    </xf>
    <xf numFmtId="165" fontId="3" fillId="0" borderId="57" xfId="0" applyNumberFormat="1" applyFont="1" applyBorder="1" applyAlignment="1">
      <alignment horizontal="center" vertical="center"/>
      <protection locked="0"/>
    </xf>
    <xf numFmtId="165" fontId="3" fillId="0" borderId="41" xfId="0" applyNumberFormat="1" applyFont="1" applyBorder="1" applyAlignment="1">
      <alignment horizontal="center" vertical="center"/>
      <protection locked="0"/>
    </xf>
    <xf numFmtId="165" fontId="16" fillId="0" borderId="37" xfId="0" applyNumberFormat="1" applyFont="1" applyBorder="1" applyAlignment="1">
      <alignment horizontal="center" vertical="center" wrapText="1"/>
      <protection locked="0"/>
    </xf>
    <xf numFmtId="165" fontId="2" fillId="0" borderId="0" xfId="0" applyNumberFormat="1" applyFont="1" applyAlignment="1">
      <alignment horizontal="center" vertical="center" wrapText="1"/>
      <protection locked="0"/>
    </xf>
    <xf numFmtId="0" fontId="9" fillId="0" borderId="24" xfId="0" applyFont="1" applyBorder="1" applyAlignment="1">
      <alignment horizontal="center" vertical="center" textRotation="90" wrapText="1"/>
      <protection locked="0"/>
    </xf>
    <xf numFmtId="0" fontId="9" fillId="0" borderId="25" xfId="0" applyFont="1" applyBorder="1" applyAlignment="1">
      <alignment horizontal="center" vertical="center" textRotation="90" wrapText="1"/>
      <protection locked="0"/>
    </xf>
    <xf numFmtId="0" fontId="9" fillId="0" borderId="27" xfId="0" applyFont="1" applyBorder="1" applyAlignment="1">
      <alignment horizontal="center" vertical="center" textRotation="90" wrapText="1"/>
      <protection locked="0"/>
    </xf>
    <xf numFmtId="164" fontId="3" fillId="0" borderId="12" xfId="0" applyNumberFormat="1" applyFont="1" applyBorder="1" applyAlignment="1">
      <alignment horizontal="center" vertical="center" wrapText="1"/>
      <protection locked="0"/>
    </xf>
    <xf numFmtId="164" fontId="3" fillId="0" borderId="8" xfId="0" applyNumberFormat="1" applyFont="1" applyBorder="1" applyAlignment="1">
      <alignment horizontal="center" vertical="center" wrapText="1"/>
      <protection locked="0"/>
    </xf>
    <xf numFmtId="164" fontId="3" fillId="0" borderId="34" xfId="0" applyNumberFormat="1" applyFont="1" applyBorder="1" applyAlignment="1">
      <alignment horizontal="center" vertical="center" wrapText="1"/>
      <protection locked="0"/>
    </xf>
    <xf numFmtId="164" fontId="3" fillId="0" borderId="35" xfId="0" applyNumberFormat="1" applyFont="1" applyBorder="1" applyAlignment="1">
      <alignment horizontal="center" vertical="center" wrapText="1"/>
      <protection locked="0"/>
    </xf>
    <xf numFmtId="164" fontId="3" fillId="0" borderId="21" xfId="0" applyNumberFormat="1" applyFont="1" applyBorder="1" applyAlignment="1">
      <alignment horizontal="center" vertical="center"/>
      <protection locked="0"/>
    </xf>
    <xf numFmtId="164" fontId="4" fillId="0" borderId="57" xfId="0" applyNumberFormat="1" applyFont="1" applyBorder="1">
      <protection locked="0"/>
    </xf>
    <xf numFmtId="164" fontId="16" fillId="0" borderId="23" xfId="0" applyNumberFormat="1" applyFont="1" applyBorder="1" applyAlignment="1">
      <alignment horizontal="center" vertical="center" wrapText="1"/>
      <protection locked="0"/>
    </xf>
    <xf numFmtId="164" fontId="6" fillId="0" borderId="37" xfId="0" applyNumberFormat="1" applyFont="1" applyBorder="1">
      <protection locked="0"/>
    </xf>
    <xf numFmtId="164" fontId="3" fillId="0" borderId="36" xfId="0" applyNumberFormat="1" applyFont="1" applyBorder="1" applyAlignment="1">
      <alignment horizontal="center" vertical="center"/>
      <protection locked="0"/>
    </xf>
    <xf numFmtId="164" fontId="4" fillId="0" borderId="60" xfId="0" applyNumberFormat="1" applyFont="1" applyBorder="1">
      <protection locked="0"/>
    </xf>
    <xf numFmtId="164" fontId="6" fillId="0" borderId="13" xfId="0" applyNumberFormat="1" applyFont="1" applyBorder="1">
      <protection locked="0"/>
    </xf>
    <xf numFmtId="0" fontId="3" fillId="0" borderId="14" xfId="0" applyFont="1" applyBorder="1" applyAlignment="1">
      <alignment horizontal="center" vertical="center"/>
      <protection locked="0"/>
    </xf>
    <xf numFmtId="0" fontId="3" fillId="0" borderId="25" xfId="0" applyFont="1" applyBorder="1" applyAlignment="1">
      <alignment horizontal="center" vertical="center"/>
      <protection locked="0"/>
    </xf>
    <xf numFmtId="0" fontId="3" fillId="0" borderId="15" xfId="0" applyFont="1" applyBorder="1" applyAlignment="1">
      <alignment horizontal="center" vertical="center"/>
      <protection locked="0"/>
    </xf>
    <xf numFmtId="0" fontId="5" fillId="0" borderId="24" xfId="0" applyFont="1" applyBorder="1" applyAlignment="1">
      <alignment horizontal="center"/>
      <protection locked="0"/>
    </xf>
    <xf numFmtId="0" fontId="5" fillId="0" borderId="25" xfId="0" applyFont="1" applyBorder="1" applyAlignment="1">
      <alignment horizontal="center"/>
      <protection locked="0"/>
    </xf>
    <xf numFmtId="0" fontId="5" fillId="0" borderId="27" xfId="0" applyFont="1" applyBorder="1" applyAlignment="1">
      <alignment horizontal="center"/>
      <protection locked="0"/>
    </xf>
    <xf numFmtId="165" fontId="3" fillId="0" borderId="21" xfId="0" applyNumberFormat="1" applyFont="1" applyBorder="1" applyAlignment="1">
      <alignment horizontal="center" vertical="center"/>
      <protection locked="0"/>
    </xf>
    <xf numFmtId="165" fontId="4" fillId="0" borderId="38" xfId="0" applyNumberFormat="1" applyFont="1" applyBorder="1">
      <protection locked="0"/>
    </xf>
    <xf numFmtId="165" fontId="3" fillId="0" borderId="22" xfId="0" applyNumberFormat="1" applyFont="1" applyBorder="1" applyAlignment="1">
      <alignment horizontal="center" vertical="center" wrapText="1"/>
      <protection locked="0"/>
    </xf>
    <xf numFmtId="165" fontId="4" fillId="0" borderId="11" xfId="0" applyNumberFormat="1" applyFont="1" applyBorder="1">
      <protection locked="0"/>
    </xf>
    <xf numFmtId="165" fontId="1" fillId="2" borderId="44" xfId="0" applyNumberFormat="1" applyFont="1" applyFill="1" applyBorder="1" applyAlignment="1">
      <alignment horizontal="center" vertical="center"/>
      <protection locked="0"/>
    </xf>
    <xf numFmtId="165" fontId="1" fillId="2" borderId="47" xfId="0" applyNumberFormat="1" applyFont="1" applyFill="1" applyBorder="1" applyAlignment="1">
      <alignment horizontal="center" vertical="center"/>
      <protection locked="0"/>
    </xf>
    <xf numFmtId="165" fontId="1" fillId="2" borderId="45" xfId="0" applyNumberFormat="1" applyFont="1" applyFill="1" applyBorder="1" applyAlignment="1">
      <alignment horizontal="center" vertical="center"/>
      <protection locked="0"/>
    </xf>
    <xf numFmtId="165" fontId="1" fillId="0" borderId="44" xfId="0" applyNumberFormat="1" applyFont="1" applyBorder="1" applyAlignment="1">
      <alignment horizontal="center" vertical="center"/>
      <protection locked="0"/>
    </xf>
    <xf numFmtId="165" fontId="1" fillId="0" borderId="47" xfId="0" applyNumberFormat="1" applyFont="1" applyBorder="1" applyAlignment="1">
      <alignment horizontal="center" vertical="center"/>
      <protection locked="0"/>
    </xf>
    <xf numFmtId="165" fontId="1" fillId="0" borderId="45" xfId="0" applyNumberFormat="1" applyFont="1" applyBorder="1" applyAlignment="1">
      <alignment horizontal="center" vertical="center"/>
      <protection locked="0"/>
    </xf>
    <xf numFmtId="165" fontId="3" fillId="0" borderId="34" xfId="0" applyNumberFormat="1" applyFont="1" applyBorder="1" applyAlignment="1">
      <alignment horizontal="center" vertical="center" wrapText="1"/>
      <protection locked="0"/>
    </xf>
    <xf numFmtId="165" fontId="4" fillId="0" borderId="40" xfId="0" applyNumberFormat="1" applyFont="1" applyBorder="1" applyAlignment="1">
      <alignment horizontal="center" vertical="center"/>
      <protection locked="0"/>
    </xf>
    <xf numFmtId="165" fontId="4" fillId="0" borderId="46" xfId="0" applyNumberFormat="1" applyFont="1" applyBorder="1">
      <protection locked="0"/>
    </xf>
    <xf numFmtId="165" fontId="3" fillId="0" borderId="1" xfId="0" applyNumberFormat="1" applyFont="1" applyBorder="1" applyAlignment="1">
      <alignment horizontal="center" vertical="center"/>
      <protection locked="0"/>
    </xf>
    <xf numFmtId="165" fontId="3" fillId="0" borderId="36" xfId="0" applyNumberFormat="1" applyFont="1" applyBorder="1" applyAlignment="1">
      <alignment horizontal="center" vertical="center"/>
      <protection locked="0"/>
    </xf>
    <xf numFmtId="165" fontId="3" fillId="0" borderId="37" xfId="0" applyNumberFormat="1" applyFont="1" applyBorder="1" applyAlignment="1">
      <alignment horizontal="center" vertical="center" wrapText="1"/>
      <protection locked="0"/>
    </xf>
    <xf numFmtId="165" fontId="3" fillId="0" borderId="26" xfId="0" applyNumberFormat="1" applyFont="1" applyBorder="1" applyAlignment="1">
      <alignment horizontal="center" vertical="center" wrapText="1"/>
      <protection locked="0"/>
    </xf>
    <xf numFmtId="165" fontId="3" fillId="0" borderId="28" xfId="0" applyNumberFormat="1" applyFont="1" applyBorder="1" applyAlignment="1">
      <alignment horizontal="center" vertical="center" wrapText="1"/>
      <protection locked="0"/>
    </xf>
    <xf numFmtId="164" fontId="10" fillId="0" borderId="14" xfId="0" applyNumberFormat="1" applyFont="1" applyBorder="1" applyAlignment="1">
      <alignment horizontal="left" vertical="center" wrapText="1"/>
      <protection locked="0"/>
    </xf>
    <xf numFmtId="164" fontId="10" fillId="0" borderId="15" xfId="0" applyNumberFormat="1" applyFont="1" applyBorder="1" applyAlignment="1">
      <alignment horizontal="left" vertical="center" wrapText="1"/>
      <protection locked="0"/>
    </xf>
    <xf numFmtId="49" fontId="4" fillId="0" borderId="14" xfId="0" applyNumberFormat="1" applyFont="1" applyBorder="1" applyAlignment="1">
      <alignment horizontal="center" vertical="center"/>
      <protection locked="0"/>
    </xf>
    <xf numFmtId="49" fontId="4" fillId="0" borderId="15" xfId="0" applyNumberFormat="1" applyFont="1" applyBorder="1" applyAlignment="1">
      <alignment horizontal="center" vertical="center"/>
      <protection locked="0"/>
    </xf>
    <xf numFmtId="0" fontId="1" fillId="0" borderId="1" xfId="0" applyFont="1" applyBorder="1" applyAlignment="1">
      <alignment horizontal="center" vertical="center"/>
      <protection locked="0"/>
    </xf>
    <xf numFmtId="0" fontId="1" fillId="0" borderId="17" xfId="0" applyFont="1" applyBorder="1" applyAlignment="1">
      <alignment horizontal="center" vertical="center"/>
      <protection locked="0"/>
    </xf>
    <xf numFmtId="0" fontId="1" fillId="0" borderId="2" xfId="0" applyFont="1" applyBorder="1" applyAlignment="1">
      <alignment horizontal="center" vertical="center"/>
      <protection locked="0"/>
    </xf>
    <xf numFmtId="0" fontId="1" fillId="0" borderId="42" xfId="0" applyFont="1" applyBorder="1" applyAlignment="1">
      <alignment horizontal="center" vertical="center"/>
      <protection locked="0"/>
    </xf>
    <xf numFmtId="164" fontId="5" fillId="0" borderId="31" xfId="0" applyNumberFormat="1" applyFont="1" applyBorder="1" applyAlignment="1">
      <alignment horizontal="center" vertical="center"/>
      <protection locked="0"/>
    </xf>
    <xf numFmtId="164" fontId="5" fillId="0" borderId="58" xfId="0" applyNumberFormat="1" applyFont="1" applyBorder="1" applyAlignment="1">
      <alignment horizontal="center" vertical="center"/>
      <protection locked="0"/>
    </xf>
    <xf numFmtId="0" fontId="1" fillId="0" borderId="12" xfId="0" applyFont="1" applyBorder="1" applyAlignment="1">
      <alignment horizontal="center" vertical="center"/>
      <protection locked="0"/>
    </xf>
    <xf numFmtId="0" fontId="1" fillId="0" borderId="8" xfId="0" applyFont="1" applyBorder="1" applyAlignment="1">
      <alignment horizontal="center" vertical="center"/>
      <protection locked="0"/>
    </xf>
    <xf numFmtId="0" fontId="1" fillId="0" borderId="41" xfId="0" applyFont="1" applyBorder="1" applyAlignment="1">
      <alignment horizontal="center" vertical="center"/>
      <protection locked="0"/>
    </xf>
    <xf numFmtId="0" fontId="1" fillId="0" borderId="28" xfId="0" applyFont="1" applyBorder="1" applyAlignment="1">
      <alignment horizontal="center" vertical="center"/>
      <protection locked="0"/>
    </xf>
    <xf numFmtId="49" fontId="4" fillId="0" borderId="25" xfId="0" applyNumberFormat="1" applyFont="1" applyBorder="1" applyAlignment="1">
      <alignment horizontal="center" vertical="center"/>
      <protection locked="0"/>
    </xf>
    <xf numFmtId="49" fontId="1" fillId="0" borderId="3" xfId="0" applyNumberFormat="1" applyFont="1" applyBorder="1" applyAlignment="1">
      <alignment horizontal="center" vertical="center"/>
      <protection locked="0"/>
    </xf>
    <xf numFmtId="164" fontId="10" fillId="0" borderId="3" xfId="0" applyNumberFormat="1" applyFont="1" applyBorder="1" applyAlignment="1">
      <alignment horizontal="left" vertical="center" wrapText="1"/>
      <protection locked="0"/>
    </xf>
    <xf numFmtId="164" fontId="10" fillId="0" borderId="25" xfId="0" applyNumberFormat="1" applyFont="1" applyBorder="1" applyAlignment="1">
      <alignment horizontal="left" vertical="center" wrapText="1"/>
      <protection locked="0"/>
    </xf>
    <xf numFmtId="49" fontId="1" fillId="0" borderId="14" xfId="0" applyNumberFormat="1" applyFont="1" applyBorder="1" applyAlignment="1">
      <alignment horizontal="center" vertical="center"/>
      <protection locked="0"/>
    </xf>
    <xf numFmtId="49" fontId="1" fillId="0" borderId="15" xfId="0" applyNumberFormat="1" applyFont="1" applyBorder="1" applyAlignment="1">
      <alignment horizontal="center" vertical="center"/>
      <protection locked="0"/>
    </xf>
    <xf numFmtId="164" fontId="10" fillId="0" borderId="14" xfId="0" applyNumberFormat="1" applyFont="1" applyBorder="1" applyAlignment="1">
      <alignment vertical="center" wrapText="1"/>
      <protection locked="0"/>
    </xf>
    <xf numFmtId="164" fontId="10" fillId="0" borderId="25" xfId="0" applyNumberFormat="1" applyFont="1" applyBorder="1" applyAlignment="1">
      <alignment vertical="center" wrapText="1"/>
      <protection locked="0"/>
    </xf>
    <xf numFmtId="49" fontId="1" fillId="0" borderId="25" xfId="0" applyNumberFormat="1" applyFont="1" applyBorder="1" applyAlignment="1">
      <alignment horizontal="center" vertical="center"/>
      <protection locked="0"/>
    </xf>
    <xf numFmtId="164" fontId="10" fillId="0" borderId="15" xfId="0" applyNumberFormat="1" applyFont="1" applyBorder="1" applyAlignment="1">
      <alignment vertical="center" wrapText="1"/>
      <protection locked="0"/>
    </xf>
    <xf numFmtId="0" fontId="3" fillId="0" borderId="24" xfId="0" applyFont="1" applyBorder="1" applyAlignment="1">
      <alignment horizontal="center" vertical="center" textRotation="90" wrapText="1"/>
      <protection locked="0"/>
    </xf>
    <xf numFmtId="0" fontId="3" fillId="0" borderId="25" xfId="0" applyFont="1" applyBorder="1" applyAlignment="1">
      <alignment horizontal="center" vertical="center" textRotation="90" wrapText="1"/>
      <protection locked="0"/>
    </xf>
    <xf numFmtId="0" fontId="3" fillId="0" borderId="27" xfId="0" applyFont="1" applyBorder="1" applyAlignment="1">
      <alignment horizontal="center" vertical="center" textRotation="90" wrapText="1"/>
      <protection locked="0"/>
    </xf>
    <xf numFmtId="165" fontId="3" fillId="0" borderId="4" xfId="0" applyNumberFormat="1" applyFont="1" applyBorder="1" applyAlignment="1">
      <alignment horizontal="center" vertical="center" wrapText="1"/>
      <protection locked="0"/>
    </xf>
    <xf numFmtId="165" fontId="3" fillId="0" borderId="6" xfId="0" applyNumberFormat="1" applyFont="1" applyBorder="1" applyAlignment="1">
      <alignment horizontal="center" vertical="center" wrapText="1"/>
      <protection locked="0"/>
    </xf>
    <xf numFmtId="165" fontId="3" fillId="0" borderId="43" xfId="0" applyNumberFormat="1" applyFont="1" applyBorder="1" applyAlignment="1">
      <alignment horizontal="center" vertical="center" wrapText="1"/>
      <protection locked="0"/>
    </xf>
    <xf numFmtId="165" fontId="3" fillId="2" borderId="24" xfId="0" applyNumberFormat="1" applyFont="1" applyFill="1" applyBorder="1" applyAlignment="1">
      <alignment horizontal="center" textRotation="90" wrapText="1"/>
      <protection locked="0"/>
    </xf>
    <xf numFmtId="165" fontId="3" fillId="2" borderId="25" xfId="0" applyNumberFormat="1" applyFont="1" applyFill="1" applyBorder="1" applyAlignment="1">
      <alignment horizontal="center" textRotation="90" wrapText="1"/>
      <protection locked="0"/>
    </xf>
    <xf numFmtId="165" fontId="3" fillId="2" borderId="27" xfId="0" applyNumberFormat="1" applyFont="1" applyFill="1" applyBorder="1" applyAlignment="1">
      <alignment horizontal="center" textRotation="90" wrapText="1"/>
      <protection locked="0"/>
    </xf>
    <xf numFmtId="165" fontId="2" fillId="0" borderId="0" xfId="0" applyNumberFormat="1" applyFont="1" applyAlignment="1">
      <alignment horizontal="center"/>
      <protection locked="0"/>
    </xf>
  </cellXfs>
  <cellStyles count="1">
    <cellStyle name="Įprastas" xfId="0" builtinId="0"/>
  </cellStyles>
  <dxfs count="295">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33"/>
  <sheetViews>
    <sheetView tabSelected="1" zoomScale="98" zoomScaleNormal="98" workbookViewId="0"/>
  </sheetViews>
  <sheetFormatPr defaultColWidth="9.08984375" defaultRowHeight="12.5" x14ac:dyDescent="0.25"/>
  <cols>
    <col min="1" max="1" width="4.90625" style="218" customWidth="1"/>
    <col min="2" max="2" width="53.54296875" style="218" customWidth="1"/>
    <col min="3" max="3" width="6.6328125" style="218" customWidth="1"/>
    <col min="4" max="4" width="7" style="218" customWidth="1"/>
    <col min="5" max="5" width="10.90625" style="218" customWidth="1"/>
    <col min="6" max="6" width="10.453125" style="218" customWidth="1"/>
    <col min="7" max="7" width="12.1796875" style="218" customWidth="1"/>
    <col min="8" max="8" width="10.453125" style="218" customWidth="1"/>
    <col min="9" max="16384" width="9.08984375" style="218"/>
  </cols>
  <sheetData>
    <row r="1" spans="1:8" s="321" customFormat="1" ht="11.5" x14ac:dyDescent="0.25">
      <c r="A1" s="320"/>
      <c r="C1" s="242"/>
      <c r="D1" s="242"/>
      <c r="E1" s="322"/>
      <c r="F1" s="322" t="s">
        <v>4</v>
      </c>
      <c r="G1" s="322"/>
    </row>
    <row r="2" spans="1:8" s="321" customFormat="1" ht="11.5" x14ac:dyDescent="0.25">
      <c r="A2" s="320"/>
      <c r="C2" s="242"/>
      <c r="D2" s="242"/>
      <c r="E2" s="322"/>
      <c r="F2" s="322" t="s">
        <v>276</v>
      </c>
      <c r="G2" s="322"/>
    </row>
    <row r="3" spans="1:8" s="324" customFormat="1" ht="11.5" hidden="1" x14ac:dyDescent="0.25">
      <c r="A3" s="323"/>
      <c r="C3" s="257"/>
      <c r="D3" s="257"/>
      <c r="E3" s="325"/>
      <c r="F3" s="325" t="s">
        <v>275</v>
      </c>
      <c r="G3" s="325"/>
    </row>
    <row r="4" spans="1:8" s="324" customFormat="1" ht="11.5" hidden="1" x14ac:dyDescent="0.25">
      <c r="A4" s="323"/>
      <c r="C4" s="257"/>
      <c r="D4" s="257"/>
      <c r="E4" s="325"/>
      <c r="F4" s="325" t="s">
        <v>192</v>
      </c>
      <c r="G4" s="325"/>
    </row>
    <row r="5" spans="1:8" s="321" customFormat="1" ht="11.5" x14ac:dyDescent="0.25">
      <c r="A5" s="320"/>
      <c r="C5" s="242"/>
      <c r="D5" s="242"/>
      <c r="E5" s="322"/>
      <c r="F5" s="326" t="s">
        <v>152</v>
      </c>
      <c r="G5" s="322"/>
    </row>
    <row r="6" spans="1:8" s="321" customFormat="1" ht="11.5" x14ac:dyDescent="0.25">
      <c r="A6" s="320"/>
      <c r="C6" s="242"/>
      <c r="D6" s="242"/>
      <c r="E6" s="326"/>
      <c r="F6" s="326"/>
      <c r="G6" s="326"/>
      <c r="H6" s="326"/>
    </row>
    <row r="7" spans="1:8" s="321" customFormat="1" ht="18" customHeight="1" x14ac:dyDescent="0.3">
      <c r="A7" s="586" t="s">
        <v>277</v>
      </c>
      <c r="B7" s="586"/>
      <c r="C7" s="586"/>
      <c r="D7" s="586"/>
      <c r="E7" s="586"/>
      <c r="F7" s="586"/>
      <c r="G7" s="586"/>
      <c r="H7" s="586"/>
    </row>
    <row r="8" spans="1:8" s="321" customFormat="1" ht="10.75" customHeight="1" x14ac:dyDescent="0.35">
      <c r="A8" s="320"/>
      <c r="B8" s="243"/>
      <c r="C8" s="243"/>
      <c r="D8" s="243"/>
      <c r="E8" s="243"/>
      <c r="F8" s="327"/>
      <c r="G8" s="243"/>
      <c r="H8" s="243"/>
    </row>
    <row r="9" spans="1:8" s="321" customFormat="1" ht="14.4" customHeight="1" thickBot="1" x14ac:dyDescent="0.3">
      <c r="A9" s="320"/>
      <c r="C9" s="242"/>
      <c r="D9" s="242"/>
      <c r="E9" s="322"/>
      <c r="F9" s="322"/>
      <c r="G9" s="322"/>
      <c r="H9" s="328" t="s">
        <v>154</v>
      </c>
    </row>
    <row r="10" spans="1:8" s="329" customFormat="1" ht="16.25" customHeight="1" x14ac:dyDescent="0.25">
      <c r="A10" s="587" t="s">
        <v>96</v>
      </c>
      <c r="B10" s="590" t="s">
        <v>25</v>
      </c>
      <c r="C10" s="593" t="s">
        <v>6</v>
      </c>
      <c r="D10" s="596" t="s">
        <v>36</v>
      </c>
      <c r="E10" s="599" t="s">
        <v>285</v>
      </c>
      <c r="F10" s="605" t="s">
        <v>278</v>
      </c>
      <c r="G10" s="602" t="s">
        <v>279</v>
      </c>
      <c r="H10" s="605" t="s">
        <v>278</v>
      </c>
    </row>
    <row r="11" spans="1:8" s="330" customFormat="1" ht="13.75" customHeight="1" x14ac:dyDescent="0.25">
      <c r="A11" s="588"/>
      <c r="B11" s="591"/>
      <c r="C11" s="594"/>
      <c r="D11" s="597"/>
      <c r="E11" s="600"/>
      <c r="F11" s="606"/>
      <c r="G11" s="603"/>
      <c r="H11" s="606"/>
    </row>
    <row r="12" spans="1:8" s="321" customFormat="1" ht="25.75" customHeight="1" thickBot="1" x14ac:dyDescent="0.3">
      <c r="A12" s="589"/>
      <c r="B12" s="592"/>
      <c r="C12" s="595"/>
      <c r="D12" s="598"/>
      <c r="E12" s="601"/>
      <c r="F12" s="607"/>
      <c r="G12" s="604"/>
      <c r="H12" s="607"/>
    </row>
    <row r="13" spans="1:8" s="321" customFormat="1" ht="12.75" customHeight="1" x14ac:dyDescent="0.25">
      <c r="A13" s="331">
        <v>1</v>
      </c>
      <c r="B13" s="332">
        <v>2</v>
      </c>
      <c r="C13" s="333">
        <v>3</v>
      </c>
      <c r="D13" s="261">
        <v>4</v>
      </c>
      <c r="E13" s="334">
        <v>5</v>
      </c>
      <c r="F13" s="335">
        <v>6</v>
      </c>
      <c r="G13" s="336">
        <v>7</v>
      </c>
      <c r="H13" s="337">
        <v>8</v>
      </c>
    </row>
    <row r="14" spans="1:8" s="344" customFormat="1" ht="23.4" customHeight="1" x14ac:dyDescent="0.25">
      <c r="A14" s="338"/>
      <c r="B14" s="339" t="s">
        <v>20</v>
      </c>
      <c r="C14" s="340" t="s">
        <v>125</v>
      </c>
      <c r="D14" s="225"/>
      <c r="E14" s="341">
        <f>E16</f>
        <v>98.02</v>
      </c>
      <c r="F14" s="342">
        <f>F16</f>
        <v>81</v>
      </c>
      <c r="G14" s="217">
        <f>G16</f>
        <v>0</v>
      </c>
      <c r="H14" s="343">
        <f>H16</f>
        <v>0</v>
      </c>
    </row>
    <row r="15" spans="1:8" ht="13" x14ac:dyDescent="0.3">
      <c r="A15" s="345"/>
      <c r="B15" s="346" t="s">
        <v>2</v>
      </c>
      <c r="C15" s="347"/>
      <c r="D15" s="226"/>
      <c r="E15" s="102"/>
      <c r="F15" s="216"/>
      <c r="G15" s="101"/>
      <c r="H15" s="253"/>
    </row>
    <row r="16" spans="1:8" ht="13" x14ac:dyDescent="0.25">
      <c r="A16" s="347" t="s">
        <v>23</v>
      </c>
      <c r="B16" s="348" t="s">
        <v>35</v>
      </c>
      <c r="C16" s="347" t="s">
        <v>22</v>
      </c>
      <c r="D16" s="226" t="s">
        <v>37</v>
      </c>
      <c r="E16" s="102">
        <v>98.02</v>
      </c>
      <c r="F16" s="216">
        <v>81</v>
      </c>
      <c r="G16" s="101"/>
      <c r="H16" s="253"/>
    </row>
    <row r="17" spans="1:8" s="351" customFormat="1" ht="25.75" customHeight="1" x14ac:dyDescent="0.25">
      <c r="A17" s="349"/>
      <c r="B17" s="350" t="s">
        <v>21</v>
      </c>
      <c r="C17" s="340" t="s">
        <v>126</v>
      </c>
      <c r="D17" s="225"/>
      <c r="E17" s="341">
        <f>SUM(E22:E48)</f>
        <v>18634.692999999999</v>
      </c>
      <c r="F17" s="342">
        <f>SUM(F22:F48)</f>
        <v>3370.5809999999997</v>
      </c>
      <c r="G17" s="217">
        <f>SUM(G22:G48)</f>
        <v>6382.1129999999994</v>
      </c>
      <c r="H17" s="343">
        <f>SUM(H22:H48)</f>
        <v>4.5710000000000006</v>
      </c>
    </row>
    <row r="18" spans="1:8" ht="13" x14ac:dyDescent="0.3">
      <c r="A18" s="352"/>
      <c r="B18" s="346" t="s">
        <v>2</v>
      </c>
      <c r="C18" s="347"/>
      <c r="D18" s="225"/>
      <c r="E18" s="102"/>
      <c r="F18" s="216"/>
      <c r="G18" s="101"/>
      <c r="H18" s="253"/>
    </row>
    <row r="19" spans="1:8" ht="13.5" x14ac:dyDescent="0.35">
      <c r="A19" s="353"/>
      <c r="B19" s="229" t="s">
        <v>124</v>
      </c>
      <c r="C19" s="354"/>
      <c r="D19" s="228"/>
      <c r="E19" s="355">
        <f>138.76+105+11+44.2</f>
        <v>298.95999999999998</v>
      </c>
      <c r="F19" s="356">
        <f>84.45+13.75</f>
        <v>98.2</v>
      </c>
      <c r="G19" s="357"/>
      <c r="H19" s="358"/>
    </row>
    <row r="20" spans="1:8" ht="13.5" x14ac:dyDescent="0.35">
      <c r="A20" s="353"/>
      <c r="B20" s="229" t="s">
        <v>207</v>
      </c>
      <c r="C20" s="354"/>
      <c r="D20" s="228"/>
      <c r="E20" s="355">
        <f>G20+127.55</f>
        <v>127.765</v>
      </c>
      <c r="F20" s="356">
        <v>115</v>
      </c>
      <c r="G20" s="357">
        <v>0.215</v>
      </c>
      <c r="H20" s="358"/>
    </row>
    <row r="21" spans="1:8" ht="27" x14ac:dyDescent="0.35">
      <c r="A21" s="353"/>
      <c r="B21" s="359" t="s">
        <v>254</v>
      </c>
      <c r="C21" s="354"/>
      <c r="D21" s="228"/>
      <c r="E21" s="355">
        <f>G21+665.159+43.035</f>
        <v>715.70499999999993</v>
      </c>
      <c r="F21" s="356"/>
      <c r="G21" s="357">
        <f>18.511-11</f>
        <v>7.5109999999999992</v>
      </c>
      <c r="H21" s="358"/>
    </row>
    <row r="22" spans="1:8" ht="13" x14ac:dyDescent="0.25">
      <c r="A22" s="565" t="s">
        <v>23</v>
      </c>
      <c r="B22" s="579" t="s">
        <v>35</v>
      </c>
      <c r="C22" s="347" t="s">
        <v>127</v>
      </c>
      <c r="D22" s="226" t="s">
        <v>37</v>
      </c>
      <c r="E22" s="102">
        <f>G22+138.76+127.55+2424.48+105+665.159+43.035+11+10+44.2+138</f>
        <v>3979.3609999999999</v>
      </c>
      <c r="F22" s="216">
        <f>84.45+115+1982.18+13.75</f>
        <v>2195.38</v>
      </c>
      <c r="G22" s="101">
        <f>0.215+12.007+48.385+197.669+G21+6.39</f>
        <v>272.17700000000002</v>
      </c>
      <c r="H22" s="253"/>
    </row>
    <row r="23" spans="1:8" ht="13" x14ac:dyDescent="0.25">
      <c r="A23" s="566"/>
      <c r="B23" s="580"/>
      <c r="C23" s="347" t="s">
        <v>128</v>
      </c>
      <c r="D23" s="226" t="s">
        <v>52</v>
      </c>
      <c r="E23" s="102">
        <f>G23+119.6</f>
        <v>124.151</v>
      </c>
      <c r="F23" s="216"/>
      <c r="G23" s="101">
        <v>4.5510000000000002</v>
      </c>
      <c r="H23" s="253"/>
    </row>
    <row r="24" spans="1:8" ht="13" x14ac:dyDescent="0.25">
      <c r="A24" s="254" t="s">
        <v>26</v>
      </c>
      <c r="B24" s="248" t="s">
        <v>42</v>
      </c>
      <c r="C24" s="347" t="s">
        <v>129</v>
      </c>
      <c r="D24" s="226" t="s">
        <v>37</v>
      </c>
      <c r="E24" s="102">
        <f>G24+16.6+5.54+214.2+30</f>
        <v>296.64</v>
      </c>
      <c r="F24" s="216"/>
      <c r="G24" s="101">
        <f>12+15+3.3</f>
        <v>30.3</v>
      </c>
      <c r="H24" s="253"/>
    </row>
    <row r="25" spans="1:8" ht="13" hidden="1" x14ac:dyDescent="0.25">
      <c r="A25" s="226"/>
      <c r="B25" s="248" t="s">
        <v>2</v>
      </c>
      <c r="C25" s="347"/>
      <c r="D25" s="226"/>
      <c r="E25" s="102"/>
      <c r="F25" s="216"/>
      <c r="G25" s="101"/>
      <c r="H25" s="253"/>
    </row>
    <row r="26" spans="1:8" ht="13" hidden="1" x14ac:dyDescent="0.25">
      <c r="A26" s="226"/>
      <c r="B26" s="248" t="s">
        <v>230</v>
      </c>
      <c r="C26" s="360" t="s">
        <v>231</v>
      </c>
      <c r="D26" s="220" t="s">
        <v>37</v>
      </c>
      <c r="E26" s="102"/>
      <c r="F26" s="216"/>
      <c r="G26" s="101"/>
      <c r="H26" s="253"/>
    </row>
    <row r="27" spans="1:8" ht="13" x14ac:dyDescent="0.25">
      <c r="A27" s="226" t="s">
        <v>32</v>
      </c>
      <c r="B27" s="361" t="s">
        <v>120</v>
      </c>
      <c r="C27" s="347" t="s">
        <v>130</v>
      </c>
      <c r="D27" s="226" t="s">
        <v>37</v>
      </c>
      <c r="E27" s="102">
        <f>G27+1085.5+16.8+6.5</f>
        <v>1564.759</v>
      </c>
      <c r="F27" s="216">
        <f>H27</f>
        <v>0.36</v>
      </c>
      <c r="G27" s="101">
        <f>76.185+346.774+33</f>
        <v>455.959</v>
      </c>
      <c r="H27" s="253">
        <v>0.36</v>
      </c>
    </row>
    <row r="28" spans="1:8" ht="13" hidden="1" x14ac:dyDescent="0.25">
      <c r="A28" s="226"/>
      <c r="B28" s="248" t="s">
        <v>2</v>
      </c>
      <c r="C28" s="347"/>
      <c r="D28" s="226"/>
      <c r="E28" s="102"/>
      <c r="F28" s="216"/>
      <c r="G28" s="101"/>
      <c r="H28" s="253"/>
    </row>
    <row r="29" spans="1:8" ht="21" hidden="1" customHeight="1" x14ac:dyDescent="0.25">
      <c r="A29" s="220"/>
      <c r="B29" s="248" t="s">
        <v>265</v>
      </c>
      <c r="C29" s="360" t="s">
        <v>239</v>
      </c>
      <c r="D29" s="220" t="s">
        <v>37</v>
      </c>
      <c r="E29" s="362"/>
      <c r="F29" s="356"/>
      <c r="G29" s="363"/>
      <c r="H29" s="364"/>
    </row>
    <row r="30" spans="1:8" ht="13" hidden="1" x14ac:dyDescent="0.25">
      <c r="A30" s="220"/>
      <c r="B30" s="248" t="s">
        <v>266</v>
      </c>
      <c r="C30" s="360" t="s">
        <v>263</v>
      </c>
      <c r="D30" s="220" t="s">
        <v>37</v>
      </c>
      <c r="E30" s="362"/>
      <c r="F30" s="356"/>
      <c r="G30" s="363"/>
      <c r="H30" s="364"/>
    </row>
    <row r="31" spans="1:8" ht="16.75" hidden="1" customHeight="1" x14ac:dyDescent="0.25">
      <c r="A31" s="220"/>
      <c r="B31" s="248" t="s">
        <v>249</v>
      </c>
      <c r="C31" s="360" t="s">
        <v>264</v>
      </c>
      <c r="D31" s="220" t="s">
        <v>37</v>
      </c>
      <c r="E31" s="362"/>
      <c r="F31" s="356"/>
      <c r="G31" s="363"/>
      <c r="H31" s="364"/>
    </row>
    <row r="32" spans="1:8" ht="27" hidden="1" customHeight="1" x14ac:dyDescent="0.25">
      <c r="A32" s="220"/>
      <c r="B32" s="248" t="s">
        <v>273</v>
      </c>
      <c r="C32" s="360" t="s">
        <v>272</v>
      </c>
      <c r="D32" s="220" t="s">
        <v>37</v>
      </c>
      <c r="E32" s="362"/>
      <c r="F32" s="356"/>
      <c r="G32" s="363"/>
      <c r="H32" s="364"/>
    </row>
    <row r="33" spans="1:8" ht="28.25" customHeight="1" x14ac:dyDescent="0.25">
      <c r="A33" s="226" t="s">
        <v>31</v>
      </c>
      <c r="B33" s="361" t="s">
        <v>44</v>
      </c>
      <c r="C33" s="347" t="s">
        <v>131</v>
      </c>
      <c r="D33" s="226" t="s">
        <v>37</v>
      </c>
      <c r="E33" s="102">
        <f>G33+85.5</f>
        <v>95.5</v>
      </c>
      <c r="F33" s="216"/>
      <c r="G33" s="101">
        <v>10</v>
      </c>
      <c r="H33" s="253"/>
    </row>
    <row r="34" spans="1:8" s="365" customFormat="1" ht="13" hidden="1" x14ac:dyDescent="0.3">
      <c r="A34" s="220"/>
      <c r="B34" s="248" t="s">
        <v>268</v>
      </c>
      <c r="C34" s="360" t="s">
        <v>267</v>
      </c>
      <c r="D34" s="220" t="s">
        <v>37</v>
      </c>
      <c r="E34" s="362"/>
      <c r="F34" s="356"/>
      <c r="G34" s="363"/>
      <c r="H34" s="364"/>
    </row>
    <row r="35" spans="1:8" ht="15.65" customHeight="1" x14ac:dyDescent="0.25">
      <c r="A35" s="226" t="s">
        <v>40</v>
      </c>
      <c r="B35" s="361" t="s">
        <v>116</v>
      </c>
      <c r="C35" s="347" t="s">
        <v>132</v>
      </c>
      <c r="D35" s="226" t="s">
        <v>37</v>
      </c>
      <c r="E35" s="102">
        <f>G35+158</f>
        <v>243.34800000000001</v>
      </c>
      <c r="F35" s="216"/>
      <c r="G35" s="101">
        <f>0.348+85</f>
        <v>85.347999999999999</v>
      </c>
      <c r="H35" s="253"/>
    </row>
    <row r="36" spans="1:8" ht="13" x14ac:dyDescent="0.25">
      <c r="A36" s="565" t="s">
        <v>24</v>
      </c>
      <c r="B36" s="567" t="s">
        <v>45</v>
      </c>
      <c r="C36" s="347" t="s">
        <v>133</v>
      </c>
      <c r="D36" s="226" t="s">
        <v>37</v>
      </c>
      <c r="E36" s="102">
        <f>G36+48.395+1219.4+147.775</f>
        <v>2039.2570000000001</v>
      </c>
      <c r="F36" s="216"/>
      <c r="G36" s="101">
        <f>101.042+500.145+3.5+19</f>
        <v>623.68700000000001</v>
      </c>
      <c r="H36" s="253"/>
    </row>
    <row r="37" spans="1:8" ht="13" hidden="1" x14ac:dyDescent="0.25">
      <c r="A37" s="566"/>
      <c r="B37" s="568"/>
      <c r="C37" s="347"/>
      <c r="D37" s="226" t="s">
        <v>119</v>
      </c>
      <c r="E37" s="102"/>
      <c r="F37" s="216"/>
      <c r="G37" s="101"/>
      <c r="H37" s="253"/>
    </row>
    <row r="38" spans="1:8" ht="13" x14ac:dyDescent="0.25">
      <c r="A38" s="226" t="s">
        <v>34</v>
      </c>
      <c r="B38" s="361" t="s">
        <v>46</v>
      </c>
      <c r="C38" s="366" t="s">
        <v>134</v>
      </c>
      <c r="D38" s="226" t="s">
        <v>37</v>
      </c>
      <c r="E38" s="102">
        <f>G38+25.6</f>
        <v>40.158999999999999</v>
      </c>
      <c r="F38" s="216"/>
      <c r="G38" s="101">
        <f>14.559</f>
        <v>14.558999999999999</v>
      </c>
      <c r="H38" s="253"/>
    </row>
    <row r="39" spans="1:8" ht="13" hidden="1" x14ac:dyDescent="0.25">
      <c r="A39" s="367"/>
      <c r="B39" s="248" t="s">
        <v>2</v>
      </c>
      <c r="C39" s="368"/>
      <c r="D39" s="220"/>
      <c r="E39" s="102"/>
      <c r="F39" s="216"/>
      <c r="G39" s="101"/>
      <c r="H39" s="253"/>
    </row>
    <row r="40" spans="1:8" ht="13" hidden="1" x14ac:dyDescent="0.25">
      <c r="A40" s="367"/>
      <c r="B40" s="248" t="s">
        <v>232</v>
      </c>
      <c r="C40" s="368"/>
      <c r="D40" s="220" t="s">
        <v>37</v>
      </c>
      <c r="E40" s="362"/>
      <c r="F40" s="356"/>
      <c r="G40" s="363"/>
      <c r="H40" s="364"/>
    </row>
    <row r="41" spans="1:8" ht="13" hidden="1" x14ac:dyDescent="0.25">
      <c r="A41" s="367"/>
      <c r="B41" s="248" t="s">
        <v>247</v>
      </c>
      <c r="C41" s="360"/>
      <c r="D41" s="220" t="s">
        <v>37</v>
      </c>
      <c r="E41" s="362"/>
      <c r="F41" s="356"/>
      <c r="G41" s="363"/>
      <c r="H41" s="364"/>
    </row>
    <row r="42" spans="1:8" ht="13" x14ac:dyDescent="0.25">
      <c r="A42" s="369" t="s">
        <v>33</v>
      </c>
      <c r="B42" s="248" t="s">
        <v>47</v>
      </c>
      <c r="C42" s="347" t="s">
        <v>135</v>
      </c>
      <c r="D42" s="226" t="s">
        <v>37</v>
      </c>
      <c r="E42" s="102">
        <f>G42+2583.01+241.58</f>
        <v>3131.1350000000002</v>
      </c>
      <c r="F42" s="216">
        <v>1131.68</v>
      </c>
      <c r="G42" s="101">
        <f>4.039+191.506+111</f>
        <v>306.54499999999996</v>
      </c>
      <c r="H42" s="253"/>
    </row>
    <row r="43" spans="1:8" ht="13" x14ac:dyDescent="0.25">
      <c r="A43" s="369" t="s">
        <v>41</v>
      </c>
      <c r="B43" s="248" t="s">
        <v>48</v>
      </c>
      <c r="C43" s="347" t="s">
        <v>136</v>
      </c>
      <c r="D43" s="226" t="s">
        <v>37</v>
      </c>
      <c r="E43" s="102">
        <f>G43+373.556</f>
        <v>535.64800000000002</v>
      </c>
      <c r="F43" s="216">
        <v>38.950000000000003</v>
      </c>
      <c r="G43" s="101">
        <f>0.48+7.943+10+25.596+42+20+26.413+9.12+9.786+10.754</f>
        <v>162.09200000000001</v>
      </c>
      <c r="H43" s="253"/>
    </row>
    <row r="44" spans="1:8" ht="13" hidden="1" x14ac:dyDescent="0.25">
      <c r="A44" s="369"/>
      <c r="B44" s="361" t="s">
        <v>2</v>
      </c>
      <c r="C44" s="347"/>
      <c r="D44" s="226"/>
      <c r="E44" s="102"/>
      <c r="F44" s="216"/>
      <c r="G44" s="101"/>
      <c r="H44" s="253"/>
    </row>
    <row r="45" spans="1:8" ht="13" hidden="1" x14ac:dyDescent="0.25">
      <c r="A45" s="369"/>
      <c r="B45" s="370" t="s">
        <v>226</v>
      </c>
      <c r="C45" s="360" t="s">
        <v>221</v>
      </c>
      <c r="D45" s="226"/>
      <c r="E45" s="102"/>
      <c r="F45" s="216"/>
      <c r="G45" s="101"/>
      <c r="H45" s="253"/>
    </row>
    <row r="46" spans="1:8" ht="13" x14ac:dyDescent="0.25">
      <c r="A46" s="565" t="s">
        <v>7</v>
      </c>
      <c r="B46" s="579" t="s">
        <v>49</v>
      </c>
      <c r="C46" s="347" t="s">
        <v>137</v>
      </c>
      <c r="D46" s="226" t="s">
        <v>37</v>
      </c>
      <c r="E46" s="102">
        <f>G46+369.45+770</f>
        <v>5556.3449999999993</v>
      </c>
      <c r="F46" s="216">
        <f>H46</f>
        <v>4.2110000000000003</v>
      </c>
      <c r="G46" s="101">
        <f>14.633+65+175+465.852+156.8+260+23.148+94.612+1117.466+78.442+210+600+324.062+831.88</f>
        <v>4416.8949999999995</v>
      </c>
      <c r="H46" s="253">
        <f>0.315+1.893+2.003</f>
        <v>4.2110000000000003</v>
      </c>
    </row>
    <row r="47" spans="1:8" ht="13" hidden="1" x14ac:dyDescent="0.25">
      <c r="A47" s="569"/>
      <c r="B47" s="581"/>
      <c r="C47" s="347"/>
      <c r="D47" s="226" t="s">
        <v>52</v>
      </c>
      <c r="E47" s="102"/>
      <c r="F47" s="216"/>
      <c r="G47" s="101"/>
      <c r="H47" s="253"/>
    </row>
    <row r="48" spans="1:8" ht="13" x14ac:dyDescent="0.25">
      <c r="A48" s="566"/>
      <c r="B48" s="580"/>
      <c r="C48" s="347" t="s">
        <v>138</v>
      </c>
      <c r="D48" s="226" t="s">
        <v>119</v>
      </c>
      <c r="E48" s="102">
        <f>E50+E51</f>
        <v>1028.3899999999999</v>
      </c>
      <c r="F48" s="216"/>
      <c r="G48" s="101"/>
      <c r="H48" s="253"/>
    </row>
    <row r="49" spans="1:8" ht="13" x14ac:dyDescent="0.25">
      <c r="A49" s="371"/>
      <c r="B49" s="372" t="s">
        <v>2</v>
      </c>
      <c r="C49" s="347"/>
      <c r="D49" s="226"/>
      <c r="E49" s="102"/>
      <c r="F49" s="216"/>
      <c r="G49" s="101"/>
      <c r="H49" s="253"/>
    </row>
    <row r="50" spans="1:8" ht="52" x14ac:dyDescent="0.25">
      <c r="A50" s="371"/>
      <c r="B50" s="255" t="s">
        <v>253</v>
      </c>
      <c r="C50" s="360" t="s">
        <v>288</v>
      </c>
      <c r="D50" s="220" t="s">
        <v>119</v>
      </c>
      <c r="E50" s="362">
        <v>140</v>
      </c>
      <c r="F50" s="216"/>
      <c r="G50" s="101"/>
      <c r="H50" s="253"/>
    </row>
    <row r="51" spans="1:8" ht="39" x14ac:dyDescent="0.25">
      <c r="A51" s="371"/>
      <c r="B51" s="255" t="s">
        <v>252</v>
      </c>
      <c r="C51" s="360" t="s">
        <v>289</v>
      </c>
      <c r="D51" s="220" t="s">
        <v>119</v>
      </c>
      <c r="E51" s="362">
        <v>888.39</v>
      </c>
      <c r="F51" s="216"/>
      <c r="G51" s="101"/>
      <c r="H51" s="253"/>
    </row>
    <row r="52" spans="1:8" ht="26" hidden="1" x14ac:dyDescent="0.25">
      <c r="A52" s="371"/>
      <c r="B52" s="255" t="s">
        <v>161</v>
      </c>
      <c r="C52" s="360" t="s">
        <v>160</v>
      </c>
      <c r="D52" s="220" t="s">
        <v>119</v>
      </c>
      <c r="E52" s="102"/>
      <c r="F52" s="216"/>
      <c r="G52" s="101"/>
      <c r="H52" s="253"/>
    </row>
    <row r="53" spans="1:8" s="374" customFormat="1" ht="19.25" customHeight="1" x14ac:dyDescent="0.3">
      <c r="A53" s="373"/>
      <c r="B53" s="350" t="s">
        <v>8</v>
      </c>
      <c r="C53" s="373" t="s">
        <v>139</v>
      </c>
      <c r="D53" s="230"/>
      <c r="E53" s="341">
        <f>SUM(E55:E60)</f>
        <v>348.58</v>
      </c>
      <c r="F53" s="342">
        <f>SUM(F55:F60)</f>
        <v>242.12</v>
      </c>
      <c r="G53" s="217">
        <f>SUM(G55:G60)</f>
        <v>1.7000000000000002</v>
      </c>
      <c r="H53" s="343">
        <f>SUM(H55:H60)</f>
        <v>1.35</v>
      </c>
    </row>
    <row r="54" spans="1:8" ht="13" x14ac:dyDescent="0.3">
      <c r="A54" s="352"/>
      <c r="B54" s="346" t="s">
        <v>2</v>
      </c>
      <c r="C54" s="375"/>
      <c r="D54" s="221"/>
      <c r="E54" s="102"/>
      <c r="F54" s="216"/>
      <c r="G54" s="101"/>
      <c r="H54" s="253"/>
    </row>
    <row r="55" spans="1:8" ht="13" x14ac:dyDescent="0.25">
      <c r="A55" s="226" t="s">
        <v>23</v>
      </c>
      <c r="B55" s="348" t="s">
        <v>35</v>
      </c>
      <c r="C55" s="376" t="s">
        <v>27</v>
      </c>
      <c r="D55" s="221" t="s">
        <v>37</v>
      </c>
      <c r="E55" s="102">
        <v>0.9</v>
      </c>
      <c r="F55" s="216"/>
      <c r="G55" s="101"/>
      <c r="H55" s="253"/>
    </row>
    <row r="56" spans="1:8" ht="13" x14ac:dyDescent="0.25">
      <c r="A56" s="565" t="s">
        <v>26</v>
      </c>
      <c r="B56" s="567" t="s">
        <v>42</v>
      </c>
      <c r="C56" s="376" t="s">
        <v>50</v>
      </c>
      <c r="D56" s="221" t="s">
        <v>37</v>
      </c>
      <c r="E56" s="102">
        <f>313.98+G56+0.4</f>
        <v>315.75</v>
      </c>
      <c r="F56" s="216">
        <f>240.77+H56</f>
        <v>242.12</v>
      </c>
      <c r="G56" s="101">
        <v>1.37</v>
      </c>
      <c r="H56" s="253">
        <v>1.35</v>
      </c>
    </row>
    <row r="57" spans="1:8" ht="13" x14ac:dyDescent="0.25">
      <c r="A57" s="566"/>
      <c r="B57" s="568"/>
      <c r="C57" s="376" t="s">
        <v>51</v>
      </c>
      <c r="D57" s="226" t="s">
        <v>52</v>
      </c>
      <c r="E57" s="102">
        <f>G57+28.9</f>
        <v>29.229999999999997</v>
      </c>
      <c r="F57" s="216"/>
      <c r="G57" s="101">
        <v>0.33</v>
      </c>
      <c r="H57" s="253"/>
    </row>
    <row r="58" spans="1:8" ht="13" x14ac:dyDescent="0.3">
      <c r="A58" s="254" t="s">
        <v>34</v>
      </c>
      <c r="B58" s="377" t="s">
        <v>46</v>
      </c>
      <c r="C58" s="376" t="s">
        <v>143</v>
      </c>
      <c r="D58" s="221" t="s">
        <v>37</v>
      </c>
      <c r="E58" s="102">
        <v>1</v>
      </c>
      <c r="F58" s="216"/>
      <c r="G58" s="101"/>
      <c r="H58" s="253"/>
    </row>
    <row r="59" spans="1:8" ht="13" x14ac:dyDescent="0.25">
      <c r="A59" s="226" t="s">
        <v>33</v>
      </c>
      <c r="B59" s="372" t="s">
        <v>47</v>
      </c>
      <c r="C59" s="376" t="s">
        <v>245</v>
      </c>
      <c r="D59" s="226" t="s">
        <v>37</v>
      </c>
      <c r="E59" s="102">
        <v>1.7</v>
      </c>
      <c r="F59" s="216"/>
      <c r="G59" s="101"/>
      <c r="H59" s="253"/>
    </row>
    <row r="60" spans="1:8" ht="13" hidden="1" x14ac:dyDescent="0.25">
      <c r="A60" s="226" t="s">
        <v>7</v>
      </c>
      <c r="B60" s="372" t="s">
        <v>49</v>
      </c>
      <c r="C60" s="376" t="s">
        <v>255</v>
      </c>
      <c r="D60" s="226" t="s">
        <v>37</v>
      </c>
      <c r="E60" s="102"/>
      <c r="F60" s="216"/>
      <c r="G60" s="101"/>
      <c r="H60" s="253"/>
    </row>
    <row r="61" spans="1:8" s="374" customFormat="1" ht="21.65" customHeight="1" x14ac:dyDescent="0.3">
      <c r="A61" s="378"/>
      <c r="B61" s="350" t="s">
        <v>156</v>
      </c>
      <c r="C61" s="373" t="s">
        <v>142</v>
      </c>
      <c r="D61" s="230"/>
      <c r="E61" s="341">
        <f>SUM(E63:E69)</f>
        <v>429.11200000000008</v>
      </c>
      <c r="F61" s="342">
        <f>SUM(F63:F69)</f>
        <v>275.86899999999997</v>
      </c>
      <c r="G61" s="217">
        <f>SUM(G63:G69)</f>
        <v>35.792000000000002</v>
      </c>
      <c r="H61" s="343">
        <f>SUM(H63:H69)</f>
        <v>14.279</v>
      </c>
    </row>
    <row r="62" spans="1:8" ht="13" x14ac:dyDescent="0.3">
      <c r="A62" s="379"/>
      <c r="B62" s="346" t="s">
        <v>2</v>
      </c>
      <c r="C62" s="375"/>
      <c r="D62" s="221"/>
      <c r="E62" s="102"/>
      <c r="F62" s="216"/>
      <c r="G62" s="101"/>
      <c r="H62" s="253"/>
    </row>
    <row r="63" spans="1:8" ht="13" x14ac:dyDescent="0.25">
      <c r="A63" s="226" t="s">
        <v>23</v>
      </c>
      <c r="B63" s="348" t="s">
        <v>35</v>
      </c>
      <c r="C63" s="376" t="s">
        <v>28</v>
      </c>
      <c r="D63" s="221" t="s">
        <v>37</v>
      </c>
      <c r="E63" s="102">
        <v>0.9</v>
      </c>
      <c r="F63" s="216"/>
      <c r="G63" s="101"/>
      <c r="H63" s="253"/>
    </row>
    <row r="64" spans="1:8" ht="13" x14ac:dyDescent="0.25">
      <c r="A64" s="565" t="s">
        <v>26</v>
      </c>
      <c r="B64" s="567" t="s">
        <v>42</v>
      </c>
      <c r="C64" s="376" t="s">
        <v>29</v>
      </c>
      <c r="D64" s="221" t="s">
        <v>37</v>
      </c>
      <c r="E64" s="102">
        <f>G64+354.72+0.66</f>
        <v>371.26900000000006</v>
      </c>
      <c r="F64" s="216">
        <f>H64+261.59</f>
        <v>275.86899999999997</v>
      </c>
      <c r="G64" s="101">
        <f>1.349+4.895+9.645</f>
        <v>15.888999999999999</v>
      </c>
      <c r="H64" s="253">
        <f>4.825+9.454</f>
        <v>14.279</v>
      </c>
    </row>
    <row r="65" spans="1:8" ht="13" x14ac:dyDescent="0.25">
      <c r="A65" s="566"/>
      <c r="B65" s="568"/>
      <c r="C65" s="376" t="s">
        <v>53</v>
      </c>
      <c r="D65" s="226" t="s">
        <v>52</v>
      </c>
      <c r="E65" s="102">
        <f>G65+34.3</f>
        <v>35.092999999999996</v>
      </c>
      <c r="F65" s="216"/>
      <c r="G65" s="101">
        <v>0.79300000000000004</v>
      </c>
      <c r="H65" s="253"/>
    </row>
    <row r="66" spans="1:8" ht="13" x14ac:dyDescent="0.3">
      <c r="A66" s="254" t="s">
        <v>34</v>
      </c>
      <c r="B66" s="377" t="s">
        <v>46</v>
      </c>
      <c r="C66" s="376" t="s">
        <v>181</v>
      </c>
      <c r="D66" s="221" t="s">
        <v>37</v>
      </c>
      <c r="E66" s="102">
        <v>1</v>
      </c>
      <c r="F66" s="216"/>
      <c r="G66" s="101"/>
      <c r="H66" s="253"/>
    </row>
    <row r="67" spans="1:8" ht="13" x14ac:dyDescent="0.25">
      <c r="A67" s="226" t="s">
        <v>33</v>
      </c>
      <c r="B67" s="372" t="s">
        <v>47</v>
      </c>
      <c r="C67" s="376" t="s">
        <v>222</v>
      </c>
      <c r="D67" s="226" t="s">
        <v>37</v>
      </c>
      <c r="E67" s="102">
        <v>1.74</v>
      </c>
      <c r="F67" s="216"/>
      <c r="G67" s="101"/>
      <c r="H67" s="253"/>
    </row>
    <row r="68" spans="1:8" ht="13" x14ac:dyDescent="0.25">
      <c r="A68" s="565" t="s">
        <v>7</v>
      </c>
      <c r="B68" s="567" t="s">
        <v>49</v>
      </c>
      <c r="C68" s="376" t="s">
        <v>233</v>
      </c>
      <c r="D68" s="226" t="s">
        <v>37</v>
      </c>
      <c r="E68" s="102">
        <f>G68</f>
        <v>19.11</v>
      </c>
      <c r="F68" s="216"/>
      <c r="G68" s="101">
        <v>19.11</v>
      </c>
      <c r="H68" s="253"/>
    </row>
    <row r="69" spans="1:8" ht="13" hidden="1" x14ac:dyDescent="0.25">
      <c r="A69" s="566"/>
      <c r="B69" s="568"/>
      <c r="C69" s="376" t="s">
        <v>233</v>
      </c>
      <c r="D69" s="226" t="s">
        <v>52</v>
      </c>
      <c r="E69" s="102"/>
      <c r="F69" s="216"/>
      <c r="G69" s="101"/>
      <c r="H69" s="253"/>
    </row>
    <row r="70" spans="1:8" s="374" customFormat="1" ht="24" customHeight="1" x14ac:dyDescent="0.3">
      <c r="A70" s="380"/>
      <c r="B70" s="339" t="s">
        <v>157</v>
      </c>
      <c r="C70" s="373" t="s">
        <v>141</v>
      </c>
      <c r="D70" s="230"/>
      <c r="E70" s="341">
        <f>SUM(E72:E77)</f>
        <v>489.04299999999995</v>
      </c>
      <c r="F70" s="342">
        <f>SUM(F72:F77)</f>
        <v>313.55600000000004</v>
      </c>
      <c r="G70" s="217">
        <f>SUM(G72:G77)</f>
        <v>21.073</v>
      </c>
      <c r="H70" s="343">
        <f>SUM(H72:H77)</f>
        <v>18.506</v>
      </c>
    </row>
    <row r="71" spans="1:8" ht="13" x14ac:dyDescent="0.3">
      <c r="A71" s="381"/>
      <c r="B71" s="346" t="s">
        <v>2</v>
      </c>
      <c r="C71" s="382"/>
      <c r="D71" s="230"/>
      <c r="E71" s="102"/>
      <c r="F71" s="216"/>
      <c r="G71" s="101"/>
      <c r="H71" s="253"/>
    </row>
    <row r="72" spans="1:8" ht="13" x14ac:dyDescent="0.25">
      <c r="A72" s="226" t="s">
        <v>23</v>
      </c>
      <c r="B72" s="348" t="s">
        <v>35</v>
      </c>
      <c r="C72" s="376" t="s">
        <v>30</v>
      </c>
      <c r="D72" s="221" t="s">
        <v>37</v>
      </c>
      <c r="E72" s="102">
        <v>0.9</v>
      </c>
      <c r="F72" s="216"/>
      <c r="G72" s="101"/>
      <c r="H72" s="253"/>
    </row>
    <row r="73" spans="1:8" ht="13" x14ac:dyDescent="0.25">
      <c r="A73" s="565" t="s">
        <v>26</v>
      </c>
      <c r="B73" s="567" t="s">
        <v>42</v>
      </c>
      <c r="C73" s="376" t="s">
        <v>54</v>
      </c>
      <c r="D73" s="221" t="s">
        <v>37</v>
      </c>
      <c r="E73" s="102">
        <f>G73+423.11+0.76</f>
        <v>442.66899999999998</v>
      </c>
      <c r="F73" s="216">
        <f>295.05+H73</f>
        <v>313.55600000000004</v>
      </c>
      <c r="G73" s="101">
        <f>0.024+18.775</f>
        <v>18.798999999999999</v>
      </c>
      <c r="H73" s="253">
        <v>18.506</v>
      </c>
    </row>
    <row r="74" spans="1:8" ht="13" x14ac:dyDescent="0.25">
      <c r="A74" s="566"/>
      <c r="B74" s="568"/>
      <c r="C74" s="376" t="s">
        <v>55</v>
      </c>
      <c r="D74" s="226" t="s">
        <v>52</v>
      </c>
      <c r="E74" s="102">
        <f>G74+40.3</f>
        <v>42.573999999999998</v>
      </c>
      <c r="F74" s="216"/>
      <c r="G74" s="101">
        <v>2.274</v>
      </c>
      <c r="H74" s="253"/>
    </row>
    <row r="75" spans="1:8" ht="13" x14ac:dyDescent="0.3">
      <c r="A75" s="254" t="s">
        <v>34</v>
      </c>
      <c r="B75" s="377" t="s">
        <v>46</v>
      </c>
      <c r="C75" s="376" t="s">
        <v>144</v>
      </c>
      <c r="D75" s="221" t="s">
        <v>37</v>
      </c>
      <c r="E75" s="102">
        <v>1</v>
      </c>
      <c r="F75" s="216"/>
      <c r="G75" s="101"/>
      <c r="H75" s="253"/>
    </row>
    <row r="76" spans="1:8" ht="13" x14ac:dyDescent="0.25">
      <c r="A76" s="254" t="s">
        <v>33</v>
      </c>
      <c r="B76" s="255" t="s">
        <v>47</v>
      </c>
      <c r="C76" s="376" t="s">
        <v>256</v>
      </c>
      <c r="D76" s="226" t="s">
        <v>37</v>
      </c>
      <c r="E76" s="102">
        <v>1.9</v>
      </c>
      <c r="F76" s="216"/>
      <c r="G76" s="101"/>
      <c r="H76" s="253"/>
    </row>
    <row r="77" spans="1:8" ht="13" hidden="1" x14ac:dyDescent="0.25">
      <c r="A77" s="226" t="s">
        <v>7</v>
      </c>
      <c r="B77" s="372" t="s">
        <v>49</v>
      </c>
      <c r="C77" s="376" t="s">
        <v>262</v>
      </c>
      <c r="D77" s="226" t="s">
        <v>37</v>
      </c>
      <c r="E77" s="102"/>
      <c r="F77" s="216"/>
      <c r="G77" s="101"/>
      <c r="H77" s="253"/>
    </row>
    <row r="78" spans="1:8" s="351" customFormat="1" ht="22.25" customHeight="1" x14ac:dyDescent="0.25">
      <c r="A78" s="380"/>
      <c r="B78" s="339" t="s">
        <v>14</v>
      </c>
      <c r="C78" s="373" t="s">
        <v>140</v>
      </c>
      <c r="D78" s="230"/>
      <c r="E78" s="341">
        <f>SUM(E80:E86)</f>
        <v>538.17099999999994</v>
      </c>
      <c r="F78" s="342">
        <f>SUM(F80:F86)</f>
        <v>327.17</v>
      </c>
      <c r="G78" s="217">
        <f>SUM(G80:G86)</f>
        <v>121.02100000000002</v>
      </c>
      <c r="H78" s="343">
        <f>SUM(H80:H86)</f>
        <v>59.290000000000006</v>
      </c>
    </row>
    <row r="79" spans="1:8" ht="13" x14ac:dyDescent="0.3">
      <c r="A79" s="383"/>
      <c r="B79" s="346" t="s">
        <v>2</v>
      </c>
      <c r="C79" s="382"/>
      <c r="D79" s="230"/>
      <c r="E79" s="102"/>
      <c r="F79" s="216"/>
      <c r="G79" s="101"/>
      <c r="H79" s="253"/>
    </row>
    <row r="80" spans="1:8" ht="13" x14ac:dyDescent="0.25">
      <c r="A80" s="565" t="s">
        <v>23</v>
      </c>
      <c r="B80" s="567" t="s">
        <v>35</v>
      </c>
      <c r="C80" s="376" t="s">
        <v>56</v>
      </c>
      <c r="D80" s="221" t="s">
        <v>37</v>
      </c>
      <c r="E80" s="102">
        <v>0.9</v>
      </c>
      <c r="F80" s="216"/>
      <c r="G80" s="101"/>
      <c r="H80" s="253"/>
    </row>
    <row r="81" spans="1:8" ht="13" x14ac:dyDescent="0.25">
      <c r="A81" s="566"/>
      <c r="B81" s="568"/>
      <c r="C81" s="376" t="s">
        <v>57</v>
      </c>
      <c r="D81" s="226" t="s">
        <v>52</v>
      </c>
      <c r="E81" s="102">
        <f>G81+0.6</f>
        <v>1.5499999999999998</v>
      </c>
      <c r="F81" s="216"/>
      <c r="G81" s="101">
        <v>0.95</v>
      </c>
      <c r="H81" s="253"/>
    </row>
    <row r="82" spans="1:8" ht="13" x14ac:dyDescent="0.25">
      <c r="A82" s="565" t="s">
        <v>26</v>
      </c>
      <c r="B82" s="567" t="s">
        <v>42</v>
      </c>
      <c r="C82" s="376" t="s">
        <v>58</v>
      </c>
      <c r="D82" s="221" t="s">
        <v>37</v>
      </c>
      <c r="E82" s="102">
        <f>G82+367.88+0.74</f>
        <v>445.15600000000001</v>
      </c>
      <c r="F82" s="216">
        <f>H82+267.88</f>
        <v>327.17</v>
      </c>
      <c r="G82" s="101">
        <f>52.786+23.75</f>
        <v>76.536000000000001</v>
      </c>
      <c r="H82" s="253">
        <f>35.88+23.41</f>
        <v>59.290000000000006</v>
      </c>
    </row>
    <row r="83" spans="1:8" ht="13" x14ac:dyDescent="0.25">
      <c r="A83" s="566"/>
      <c r="B83" s="568"/>
      <c r="C83" s="376" t="s">
        <v>59</v>
      </c>
      <c r="D83" s="226" t="s">
        <v>52</v>
      </c>
      <c r="E83" s="102">
        <f>G83+45.15</f>
        <v>46.335000000000001</v>
      </c>
      <c r="F83" s="216"/>
      <c r="G83" s="101">
        <v>1.1850000000000001</v>
      </c>
      <c r="H83" s="253"/>
    </row>
    <row r="84" spans="1:8" ht="13" x14ac:dyDescent="0.3">
      <c r="A84" s="254" t="s">
        <v>34</v>
      </c>
      <c r="B84" s="377" t="s">
        <v>46</v>
      </c>
      <c r="C84" s="376" t="s">
        <v>145</v>
      </c>
      <c r="D84" s="221" t="s">
        <v>37</v>
      </c>
      <c r="E84" s="102">
        <v>1</v>
      </c>
      <c r="F84" s="216"/>
      <c r="G84" s="101"/>
      <c r="H84" s="253"/>
    </row>
    <row r="85" spans="1:8" ht="13" x14ac:dyDescent="0.25">
      <c r="A85" s="254" t="s">
        <v>33</v>
      </c>
      <c r="B85" s="255" t="s">
        <v>47</v>
      </c>
      <c r="C85" s="376" t="s">
        <v>246</v>
      </c>
      <c r="D85" s="226" t="s">
        <v>37</v>
      </c>
      <c r="E85" s="102">
        <v>0.88</v>
      </c>
      <c r="F85" s="216"/>
      <c r="G85" s="101"/>
      <c r="H85" s="253"/>
    </row>
    <row r="86" spans="1:8" ht="13" x14ac:dyDescent="0.25">
      <c r="A86" s="226" t="s">
        <v>7</v>
      </c>
      <c r="B86" s="372" t="s">
        <v>49</v>
      </c>
      <c r="C86" s="376" t="s">
        <v>269</v>
      </c>
      <c r="D86" s="226" t="s">
        <v>37</v>
      </c>
      <c r="E86" s="102">
        <f>G86</f>
        <v>42.35</v>
      </c>
      <c r="F86" s="216"/>
      <c r="G86" s="101">
        <v>42.35</v>
      </c>
      <c r="H86" s="253"/>
    </row>
    <row r="87" spans="1:8" s="374" customFormat="1" ht="21.65" customHeight="1" x14ac:dyDescent="0.3">
      <c r="A87" s="380"/>
      <c r="B87" s="339" t="s">
        <v>15</v>
      </c>
      <c r="C87" s="373" t="s">
        <v>99</v>
      </c>
      <c r="D87" s="230"/>
      <c r="E87" s="341">
        <f>SUM(E89:E94)</f>
        <v>318.17199999999997</v>
      </c>
      <c r="F87" s="342">
        <f>SUM(F89:F94)</f>
        <v>207.53</v>
      </c>
      <c r="G87" s="217">
        <f>SUM(G89:G94)</f>
        <v>24.822000000000003</v>
      </c>
      <c r="H87" s="343">
        <f>SUM(H89:H94)</f>
        <v>7.6</v>
      </c>
    </row>
    <row r="88" spans="1:8" ht="13" x14ac:dyDescent="0.3">
      <c r="A88" s="381"/>
      <c r="B88" s="346" t="s">
        <v>2</v>
      </c>
      <c r="C88" s="382"/>
      <c r="D88" s="230"/>
      <c r="E88" s="102"/>
      <c r="F88" s="216"/>
      <c r="G88" s="101"/>
      <c r="H88" s="253"/>
    </row>
    <row r="89" spans="1:8" ht="13" x14ac:dyDescent="0.25">
      <c r="A89" s="226" t="s">
        <v>23</v>
      </c>
      <c r="B89" s="348" t="s">
        <v>35</v>
      </c>
      <c r="C89" s="376" t="s">
        <v>60</v>
      </c>
      <c r="D89" s="221" t="s">
        <v>37</v>
      </c>
      <c r="E89" s="102">
        <v>0.9</v>
      </c>
      <c r="F89" s="216"/>
      <c r="G89" s="101"/>
      <c r="H89" s="253"/>
    </row>
    <row r="90" spans="1:8" ht="13" x14ac:dyDescent="0.25">
      <c r="A90" s="565" t="s">
        <v>26</v>
      </c>
      <c r="B90" s="567" t="s">
        <v>42</v>
      </c>
      <c r="C90" s="376" t="s">
        <v>61</v>
      </c>
      <c r="D90" s="221" t="s">
        <v>37</v>
      </c>
      <c r="E90" s="102">
        <f>G90+260.91+0.44</f>
        <v>285.06</v>
      </c>
      <c r="F90" s="216">
        <f>199.93+H90</f>
        <v>207.53</v>
      </c>
      <c r="G90" s="101">
        <f>16+7.71</f>
        <v>23.71</v>
      </c>
      <c r="H90" s="253">
        <v>7.6</v>
      </c>
    </row>
    <row r="91" spans="1:8" ht="13" x14ac:dyDescent="0.25">
      <c r="A91" s="566"/>
      <c r="B91" s="568"/>
      <c r="C91" s="376" t="s">
        <v>62</v>
      </c>
      <c r="D91" s="226" t="s">
        <v>52</v>
      </c>
      <c r="E91" s="102">
        <f>G91+28.9</f>
        <v>30.012</v>
      </c>
      <c r="F91" s="216"/>
      <c r="G91" s="101">
        <v>1.1120000000000001</v>
      </c>
      <c r="H91" s="253"/>
    </row>
    <row r="92" spans="1:8" ht="13" x14ac:dyDescent="0.3">
      <c r="A92" s="254" t="s">
        <v>34</v>
      </c>
      <c r="B92" s="377" t="s">
        <v>46</v>
      </c>
      <c r="C92" s="376" t="s">
        <v>182</v>
      </c>
      <c r="D92" s="221" t="s">
        <v>37</v>
      </c>
      <c r="E92" s="102">
        <v>1</v>
      </c>
      <c r="F92" s="216"/>
      <c r="G92" s="101"/>
      <c r="H92" s="253"/>
    </row>
    <row r="93" spans="1:8" ht="13" x14ac:dyDescent="0.25">
      <c r="A93" s="254" t="s">
        <v>33</v>
      </c>
      <c r="B93" s="255" t="s">
        <v>47</v>
      </c>
      <c r="C93" s="376" t="s">
        <v>234</v>
      </c>
      <c r="D93" s="226" t="s">
        <v>37</v>
      </c>
      <c r="E93" s="102">
        <v>1.2</v>
      </c>
      <c r="F93" s="216"/>
      <c r="G93" s="101"/>
      <c r="H93" s="253"/>
    </row>
    <row r="94" spans="1:8" ht="13" hidden="1" x14ac:dyDescent="0.25">
      <c r="A94" s="226" t="s">
        <v>7</v>
      </c>
      <c r="B94" s="372" t="s">
        <v>49</v>
      </c>
      <c r="C94" s="376" t="s">
        <v>270</v>
      </c>
      <c r="D94" s="226" t="s">
        <v>37</v>
      </c>
      <c r="E94" s="102"/>
      <c r="F94" s="216"/>
      <c r="G94" s="101"/>
      <c r="H94" s="253"/>
    </row>
    <row r="95" spans="1:8" s="374" customFormat="1" ht="19.75" customHeight="1" x14ac:dyDescent="0.3">
      <c r="A95" s="380"/>
      <c r="B95" s="339" t="s">
        <v>9</v>
      </c>
      <c r="C95" s="373" t="s">
        <v>100</v>
      </c>
      <c r="D95" s="230"/>
      <c r="E95" s="341">
        <f>SUM(E97:E103)</f>
        <v>559.38499999999999</v>
      </c>
      <c r="F95" s="342">
        <f>SUM(F97:F103)</f>
        <v>396.65199999999999</v>
      </c>
      <c r="G95" s="217">
        <f>SUM(G97:G103)</f>
        <v>7.9849999999999994</v>
      </c>
      <c r="H95" s="343">
        <f>SUM(H97:H103)</f>
        <v>6.0819999999999999</v>
      </c>
    </row>
    <row r="96" spans="1:8" ht="13" x14ac:dyDescent="0.3">
      <c r="A96" s="381"/>
      <c r="B96" s="346" t="s">
        <v>2</v>
      </c>
      <c r="C96" s="382"/>
      <c r="D96" s="230"/>
      <c r="E96" s="102"/>
      <c r="F96" s="216"/>
      <c r="G96" s="101"/>
      <c r="H96" s="253"/>
    </row>
    <row r="97" spans="1:8" ht="13" x14ac:dyDescent="0.25">
      <c r="A97" s="226" t="s">
        <v>23</v>
      </c>
      <c r="B97" s="348" t="s">
        <v>35</v>
      </c>
      <c r="C97" s="376" t="s">
        <v>63</v>
      </c>
      <c r="D97" s="221" t="s">
        <v>37</v>
      </c>
      <c r="E97" s="102">
        <v>0.9</v>
      </c>
      <c r="F97" s="216"/>
      <c r="G97" s="101"/>
      <c r="H97" s="253"/>
    </row>
    <row r="98" spans="1:8" ht="13" x14ac:dyDescent="0.25">
      <c r="A98" s="565" t="s">
        <v>26</v>
      </c>
      <c r="B98" s="567" t="s">
        <v>42</v>
      </c>
      <c r="C98" s="376" t="s">
        <v>64</v>
      </c>
      <c r="D98" s="221" t="s">
        <v>37</v>
      </c>
      <c r="E98" s="102">
        <f>478.47+G98</f>
        <v>484.64000000000004</v>
      </c>
      <c r="F98" s="216">
        <f>390.57+H98</f>
        <v>396.65199999999999</v>
      </c>
      <c r="G98" s="101">
        <v>6.17</v>
      </c>
      <c r="H98" s="253">
        <v>6.0819999999999999</v>
      </c>
    </row>
    <row r="99" spans="1:8" ht="13" x14ac:dyDescent="0.25">
      <c r="A99" s="566"/>
      <c r="B99" s="568"/>
      <c r="C99" s="376" t="s">
        <v>146</v>
      </c>
      <c r="D99" s="226" t="s">
        <v>52</v>
      </c>
      <c r="E99" s="102">
        <f>G99+70.35</f>
        <v>72.164999999999992</v>
      </c>
      <c r="F99" s="216"/>
      <c r="G99" s="101">
        <v>1.8149999999999999</v>
      </c>
      <c r="H99" s="253"/>
    </row>
    <row r="100" spans="1:8" ht="13" x14ac:dyDescent="0.3">
      <c r="A100" s="254" t="s">
        <v>34</v>
      </c>
      <c r="B100" s="377" t="s">
        <v>46</v>
      </c>
      <c r="C100" s="376" t="s">
        <v>194</v>
      </c>
      <c r="D100" s="221" t="s">
        <v>37</v>
      </c>
      <c r="E100" s="102">
        <v>1</v>
      </c>
      <c r="F100" s="216"/>
      <c r="G100" s="101"/>
      <c r="H100" s="253"/>
    </row>
    <row r="101" spans="1:8" ht="13" x14ac:dyDescent="0.25">
      <c r="A101" s="254" t="s">
        <v>33</v>
      </c>
      <c r="B101" s="255" t="s">
        <v>47</v>
      </c>
      <c r="C101" s="376" t="s">
        <v>199</v>
      </c>
      <c r="D101" s="226" t="s">
        <v>37</v>
      </c>
      <c r="E101" s="102">
        <v>0.68</v>
      </c>
      <c r="F101" s="216"/>
      <c r="G101" s="101"/>
      <c r="H101" s="253"/>
    </row>
    <row r="102" spans="1:8" ht="13" hidden="1" x14ac:dyDescent="0.25">
      <c r="A102" s="565" t="s">
        <v>7</v>
      </c>
      <c r="B102" s="567" t="s">
        <v>49</v>
      </c>
      <c r="C102" s="376" t="s">
        <v>248</v>
      </c>
      <c r="D102" s="226" t="s">
        <v>37</v>
      </c>
      <c r="E102" s="102"/>
      <c r="F102" s="216"/>
      <c r="G102" s="101"/>
      <c r="H102" s="253"/>
    </row>
    <row r="103" spans="1:8" ht="13" hidden="1" x14ac:dyDescent="0.25">
      <c r="A103" s="566"/>
      <c r="B103" s="568"/>
      <c r="C103" s="376" t="s">
        <v>284</v>
      </c>
      <c r="D103" s="226" t="s">
        <v>52</v>
      </c>
      <c r="E103" s="102"/>
      <c r="F103" s="216"/>
      <c r="G103" s="101"/>
      <c r="H103" s="253"/>
    </row>
    <row r="104" spans="1:8" s="374" customFormat="1" ht="22.25" customHeight="1" x14ac:dyDescent="0.3">
      <c r="A104" s="380"/>
      <c r="B104" s="339" t="s">
        <v>10</v>
      </c>
      <c r="C104" s="373" t="s">
        <v>162</v>
      </c>
      <c r="D104" s="230"/>
      <c r="E104" s="341">
        <f>SUM(E106:E112)</f>
        <v>319.02</v>
      </c>
      <c r="F104" s="342">
        <f>SUM(F106:F112)</f>
        <v>226.51500000000001</v>
      </c>
      <c r="G104" s="217">
        <f>SUM(G106:G112)</f>
        <v>21.39</v>
      </c>
      <c r="H104" s="343">
        <f>SUM(H106:H112)</f>
        <v>21.085000000000001</v>
      </c>
    </row>
    <row r="105" spans="1:8" ht="13" x14ac:dyDescent="0.3">
      <c r="A105" s="381"/>
      <c r="B105" s="346" t="s">
        <v>2</v>
      </c>
      <c r="C105" s="382"/>
      <c r="D105" s="230"/>
      <c r="E105" s="102"/>
      <c r="F105" s="216"/>
      <c r="G105" s="101"/>
      <c r="H105" s="253"/>
    </row>
    <row r="106" spans="1:8" ht="13" x14ac:dyDescent="0.25">
      <c r="A106" s="226" t="s">
        <v>23</v>
      </c>
      <c r="B106" s="348" t="s">
        <v>35</v>
      </c>
      <c r="C106" s="376" t="s">
        <v>65</v>
      </c>
      <c r="D106" s="221" t="s">
        <v>37</v>
      </c>
      <c r="E106" s="102">
        <v>0.9</v>
      </c>
      <c r="F106" s="216"/>
      <c r="G106" s="101"/>
      <c r="H106" s="253"/>
    </row>
    <row r="107" spans="1:8" ht="13" x14ac:dyDescent="0.25">
      <c r="A107" s="565" t="s">
        <v>26</v>
      </c>
      <c r="B107" s="567" t="s">
        <v>42</v>
      </c>
      <c r="C107" s="376" t="s">
        <v>66</v>
      </c>
      <c r="D107" s="221" t="s">
        <v>37</v>
      </c>
      <c r="E107" s="102">
        <f>274.99+G107</f>
        <v>296.38</v>
      </c>
      <c r="F107" s="216">
        <f>205.43+H107</f>
        <v>226.51500000000001</v>
      </c>
      <c r="G107" s="101">
        <v>21.39</v>
      </c>
      <c r="H107" s="253">
        <v>21.085000000000001</v>
      </c>
    </row>
    <row r="108" spans="1:8" ht="13" x14ac:dyDescent="0.25">
      <c r="A108" s="566"/>
      <c r="B108" s="568"/>
      <c r="C108" s="376" t="s">
        <v>147</v>
      </c>
      <c r="D108" s="226" t="s">
        <v>52</v>
      </c>
      <c r="E108" s="102">
        <v>20.3</v>
      </c>
      <c r="F108" s="216"/>
      <c r="G108" s="101"/>
      <c r="H108" s="253"/>
    </row>
    <row r="109" spans="1:8" ht="13" x14ac:dyDescent="0.3">
      <c r="A109" s="254" t="s">
        <v>34</v>
      </c>
      <c r="B109" s="377" t="s">
        <v>46</v>
      </c>
      <c r="C109" s="376" t="s">
        <v>183</v>
      </c>
      <c r="D109" s="221" t="s">
        <v>37</v>
      </c>
      <c r="E109" s="102">
        <v>1</v>
      </c>
      <c r="F109" s="216"/>
      <c r="G109" s="101"/>
      <c r="H109" s="253"/>
    </row>
    <row r="110" spans="1:8" ht="13" x14ac:dyDescent="0.25">
      <c r="A110" s="254" t="s">
        <v>33</v>
      </c>
      <c r="B110" s="255" t="s">
        <v>47</v>
      </c>
      <c r="C110" s="376" t="s">
        <v>204</v>
      </c>
      <c r="D110" s="226" t="s">
        <v>37</v>
      </c>
      <c r="E110" s="102">
        <v>0.44</v>
      </c>
      <c r="F110" s="216"/>
      <c r="G110" s="101"/>
      <c r="H110" s="253"/>
    </row>
    <row r="111" spans="1:8" ht="13" hidden="1" x14ac:dyDescent="0.25">
      <c r="A111" s="565" t="s">
        <v>7</v>
      </c>
      <c r="B111" s="567" t="s">
        <v>49</v>
      </c>
      <c r="C111" s="376" t="s">
        <v>237</v>
      </c>
      <c r="D111" s="226" t="s">
        <v>37</v>
      </c>
      <c r="E111" s="102"/>
      <c r="F111" s="216"/>
      <c r="G111" s="101"/>
      <c r="H111" s="253"/>
    </row>
    <row r="112" spans="1:8" ht="13" hidden="1" x14ac:dyDescent="0.25">
      <c r="A112" s="566"/>
      <c r="B112" s="568"/>
      <c r="C112" s="376" t="s">
        <v>283</v>
      </c>
      <c r="D112" s="226" t="s">
        <v>52</v>
      </c>
      <c r="E112" s="102"/>
      <c r="F112" s="216"/>
      <c r="G112" s="101"/>
      <c r="H112" s="253"/>
    </row>
    <row r="113" spans="1:8" s="374" customFormat="1" ht="25.75" customHeight="1" x14ac:dyDescent="0.3">
      <c r="A113" s="380"/>
      <c r="B113" s="339" t="s">
        <v>11</v>
      </c>
      <c r="C113" s="373" t="s">
        <v>101</v>
      </c>
      <c r="D113" s="230"/>
      <c r="E113" s="341">
        <f>SUM(E115:E121)</f>
        <v>466.495</v>
      </c>
      <c r="F113" s="342">
        <f>SUM(F115:F121)</f>
        <v>329.3</v>
      </c>
      <c r="G113" s="217">
        <f>SUM(G115:G121)</f>
        <v>2.1549999999999998</v>
      </c>
      <c r="H113" s="343">
        <f>SUM(H115:H121)</f>
        <v>0</v>
      </c>
    </row>
    <row r="114" spans="1:8" ht="13" x14ac:dyDescent="0.3">
      <c r="A114" s="381"/>
      <c r="B114" s="346" t="s">
        <v>2</v>
      </c>
      <c r="C114" s="382"/>
      <c r="D114" s="230"/>
      <c r="E114" s="102"/>
      <c r="F114" s="216"/>
      <c r="G114" s="101"/>
      <c r="H114" s="253"/>
    </row>
    <row r="115" spans="1:8" ht="13" x14ac:dyDescent="0.25">
      <c r="A115" s="226" t="s">
        <v>23</v>
      </c>
      <c r="B115" s="348" t="s">
        <v>35</v>
      </c>
      <c r="C115" s="376" t="s">
        <v>67</v>
      </c>
      <c r="D115" s="221" t="s">
        <v>37</v>
      </c>
      <c r="E115" s="102">
        <v>0.9</v>
      </c>
      <c r="F115" s="216"/>
      <c r="G115" s="101"/>
      <c r="H115" s="253"/>
    </row>
    <row r="116" spans="1:8" ht="13" x14ac:dyDescent="0.25">
      <c r="A116" s="565" t="s">
        <v>26</v>
      </c>
      <c r="B116" s="567" t="s">
        <v>42</v>
      </c>
      <c r="C116" s="376" t="s">
        <v>68</v>
      </c>
      <c r="D116" s="221" t="s">
        <v>37</v>
      </c>
      <c r="E116" s="102">
        <v>410.86</v>
      </c>
      <c r="F116" s="216">
        <v>329.3</v>
      </c>
      <c r="G116" s="101"/>
      <c r="H116" s="253"/>
    </row>
    <row r="117" spans="1:8" ht="13" x14ac:dyDescent="0.25">
      <c r="A117" s="566"/>
      <c r="B117" s="568"/>
      <c r="C117" s="376" t="s">
        <v>163</v>
      </c>
      <c r="D117" s="226" t="s">
        <v>52</v>
      </c>
      <c r="E117" s="102">
        <f>G117+51.1</f>
        <v>53.255000000000003</v>
      </c>
      <c r="F117" s="216"/>
      <c r="G117" s="101">
        <f>2.155</f>
        <v>2.1549999999999998</v>
      </c>
      <c r="H117" s="253"/>
    </row>
    <row r="118" spans="1:8" ht="13" x14ac:dyDescent="0.3">
      <c r="A118" s="254" t="s">
        <v>34</v>
      </c>
      <c r="B118" s="377" t="s">
        <v>46</v>
      </c>
      <c r="C118" s="376" t="s">
        <v>184</v>
      </c>
      <c r="D118" s="221" t="s">
        <v>37</v>
      </c>
      <c r="E118" s="102">
        <v>1</v>
      </c>
      <c r="F118" s="216"/>
      <c r="G118" s="101"/>
      <c r="H118" s="253"/>
    </row>
    <row r="119" spans="1:8" ht="13" x14ac:dyDescent="0.25">
      <c r="A119" s="254" t="s">
        <v>33</v>
      </c>
      <c r="B119" s="255" t="s">
        <v>47</v>
      </c>
      <c r="C119" s="376" t="s">
        <v>236</v>
      </c>
      <c r="D119" s="226" t="s">
        <v>37</v>
      </c>
      <c r="E119" s="102">
        <v>0.48</v>
      </c>
      <c r="F119" s="216"/>
      <c r="G119" s="101"/>
      <c r="H119" s="253"/>
    </row>
    <row r="120" spans="1:8" ht="13" hidden="1" x14ac:dyDescent="0.25">
      <c r="A120" s="565" t="s">
        <v>7</v>
      </c>
      <c r="B120" s="567" t="s">
        <v>49</v>
      </c>
      <c r="C120" s="376" t="s">
        <v>250</v>
      </c>
      <c r="D120" s="226" t="s">
        <v>52</v>
      </c>
      <c r="E120" s="102"/>
      <c r="F120" s="216"/>
      <c r="G120" s="101"/>
      <c r="H120" s="253"/>
    </row>
    <row r="121" spans="1:8" ht="13" hidden="1" x14ac:dyDescent="0.25">
      <c r="A121" s="566"/>
      <c r="B121" s="568"/>
      <c r="C121" s="376" t="s">
        <v>282</v>
      </c>
      <c r="D121" s="226" t="s">
        <v>37</v>
      </c>
      <c r="E121" s="102"/>
      <c r="F121" s="216"/>
      <c r="G121" s="101"/>
      <c r="H121" s="253"/>
    </row>
    <row r="122" spans="1:8" s="374" customFormat="1" ht="21.65" customHeight="1" x14ac:dyDescent="0.3">
      <c r="A122" s="380"/>
      <c r="B122" s="339" t="s">
        <v>12</v>
      </c>
      <c r="C122" s="373" t="s">
        <v>102</v>
      </c>
      <c r="D122" s="230"/>
      <c r="E122" s="341">
        <f>SUM(E124:E130)</f>
        <v>506.57999999999993</v>
      </c>
      <c r="F122" s="342">
        <f>SUM(F124:F130)</f>
        <v>365.31</v>
      </c>
      <c r="G122" s="217">
        <f>SUM(G124:G130)</f>
        <v>8.504999999999999</v>
      </c>
      <c r="H122" s="343">
        <f>SUM(H124:H130)</f>
        <v>8.25</v>
      </c>
    </row>
    <row r="123" spans="1:8" ht="13" x14ac:dyDescent="0.3">
      <c r="A123" s="381"/>
      <c r="B123" s="346" t="s">
        <v>2</v>
      </c>
      <c r="C123" s="382"/>
      <c r="D123" s="230"/>
      <c r="E123" s="102"/>
      <c r="F123" s="216"/>
      <c r="G123" s="101"/>
      <c r="H123" s="253"/>
    </row>
    <row r="124" spans="1:8" ht="13" x14ac:dyDescent="0.25">
      <c r="A124" s="226" t="s">
        <v>23</v>
      </c>
      <c r="B124" s="348" t="s">
        <v>35</v>
      </c>
      <c r="C124" s="376" t="s">
        <v>69</v>
      </c>
      <c r="D124" s="221" t="s">
        <v>37</v>
      </c>
      <c r="E124" s="102">
        <v>0.9</v>
      </c>
      <c r="F124" s="216"/>
      <c r="G124" s="101"/>
      <c r="H124" s="253"/>
    </row>
    <row r="125" spans="1:8" ht="13" x14ac:dyDescent="0.25">
      <c r="A125" s="565" t="s">
        <v>26</v>
      </c>
      <c r="B125" s="567" t="s">
        <v>42</v>
      </c>
      <c r="C125" s="376" t="s">
        <v>70</v>
      </c>
      <c r="D125" s="221" t="s">
        <v>37</v>
      </c>
      <c r="E125" s="102">
        <f>436.82+G125</f>
        <v>445.19</v>
      </c>
      <c r="F125" s="216">
        <f>357.06+H125</f>
        <v>365.31</v>
      </c>
      <c r="G125" s="101">
        <v>8.3699999999999992</v>
      </c>
      <c r="H125" s="253">
        <v>8.25</v>
      </c>
    </row>
    <row r="126" spans="1:8" ht="13" x14ac:dyDescent="0.25">
      <c r="A126" s="566"/>
      <c r="B126" s="568"/>
      <c r="C126" s="376" t="s">
        <v>148</v>
      </c>
      <c r="D126" s="226" t="s">
        <v>52</v>
      </c>
      <c r="E126" s="102">
        <f>G126+56.7</f>
        <v>56.835000000000001</v>
      </c>
      <c r="F126" s="216"/>
      <c r="G126" s="101">
        <v>0.13500000000000001</v>
      </c>
      <c r="H126" s="253"/>
    </row>
    <row r="127" spans="1:8" ht="13" x14ac:dyDescent="0.3">
      <c r="A127" s="254" t="s">
        <v>34</v>
      </c>
      <c r="B127" s="377" t="s">
        <v>46</v>
      </c>
      <c r="C127" s="376" t="s">
        <v>185</v>
      </c>
      <c r="D127" s="221" t="s">
        <v>37</v>
      </c>
      <c r="E127" s="102">
        <v>1</v>
      </c>
      <c r="F127" s="216"/>
      <c r="G127" s="101"/>
      <c r="H127" s="253"/>
    </row>
    <row r="128" spans="1:8" ht="13" x14ac:dyDescent="0.25">
      <c r="A128" s="254" t="s">
        <v>33</v>
      </c>
      <c r="B128" s="255" t="s">
        <v>47</v>
      </c>
      <c r="C128" s="376" t="s">
        <v>200</v>
      </c>
      <c r="D128" s="226" t="s">
        <v>37</v>
      </c>
      <c r="E128" s="102">
        <v>0.755</v>
      </c>
      <c r="F128" s="216"/>
      <c r="G128" s="101"/>
      <c r="H128" s="253"/>
    </row>
    <row r="129" spans="1:8" ht="13" x14ac:dyDescent="0.25">
      <c r="A129" s="565" t="s">
        <v>7</v>
      </c>
      <c r="B129" s="567" t="s">
        <v>49</v>
      </c>
      <c r="C129" s="376" t="s">
        <v>235</v>
      </c>
      <c r="D129" s="226" t="s">
        <v>37</v>
      </c>
      <c r="E129" s="102">
        <v>1</v>
      </c>
      <c r="F129" s="216"/>
      <c r="G129" s="101"/>
      <c r="H129" s="253"/>
    </row>
    <row r="130" spans="1:8" ht="13" x14ac:dyDescent="0.25">
      <c r="A130" s="566"/>
      <c r="B130" s="568"/>
      <c r="C130" s="376" t="s">
        <v>281</v>
      </c>
      <c r="D130" s="226" t="s">
        <v>52</v>
      </c>
      <c r="E130" s="102">
        <v>0.9</v>
      </c>
      <c r="F130" s="216"/>
      <c r="G130" s="101"/>
      <c r="H130" s="253"/>
    </row>
    <row r="131" spans="1:8" s="374" customFormat="1" ht="21.65" customHeight="1" x14ac:dyDescent="0.3">
      <c r="A131" s="380"/>
      <c r="B131" s="339" t="s">
        <v>13</v>
      </c>
      <c r="C131" s="373" t="s">
        <v>103</v>
      </c>
      <c r="D131" s="230"/>
      <c r="E131" s="341">
        <f>SUM(E133:E139)</f>
        <v>497.75799999999998</v>
      </c>
      <c r="F131" s="342">
        <f>SUM(F133:F139)</f>
        <v>357.96000000000004</v>
      </c>
      <c r="G131" s="217">
        <f>SUM(G133:G139)</f>
        <v>22.937999999999999</v>
      </c>
      <c r="H131" s="343">
        <f>SUM(H133:H139)</f>
        <v>14.73</v>
      </c>
    </row>
    <row r="132" spans="1:8" ht="13" x14ac:dyDescent="0.3">
      <c r="A132" s="381"/>
      <c r="B132" s="346" t="s">
        <v>2</v>
      </c>
      <c r="C132" s="382"/>
      <c r="D132" s="230"/>
      <c r="E132" s="102"/>
      <c r="F132" s="216"/>
      <c r="G132" s="101"/>
      <c r="H132" s="253"/>
    </row>
    <row r="133" spans="1:8" ht="13" x14ac:dyDescent="0.25">
      <c r="A133" s="226" t="s">
        <v>23</v>
      </c>
      <c r="B133" s="348" t="s">
        <v>35</v>
      </c>
      <c r="C133" s="376" t="s">
        <v>71</v>
      </c>
      <c r="D133" s="221" t="s">
        <v>37</v>
      </c>
      <c r="E133" s="102">
        <v>0.9</v>
      </c>
      <c r="F133" s="216"/>
      <c r="G133" s="101"/>
      <c r="H133" s="253"/>
    </row>
    <row r="134" spans="1:8" ht="13" x14ac:dyDescent="0.25">
      <c r="A134" s="565" t="s">
        <v>26</v>
      </c>
      <c r="B134" s="567" t="s">
        <v>42</v>
      </c>
      <c r="C134" s="376" t="s">
        <v>72</v>
      </c>
      <c r="D134" s="221" t="s">
        <v>37</v>
      </c>
      <c r="E134" s="102">
        <f>426+G134</f>
        <v>440.94</v>
      </c>
      <c r="F134" s="216">
        <f>343.23+H134</f>
        <v>357.96000000000004</v>
      </c>
      <c r="G134" s="101">
        <v>14.94</v>
      </c>
      <c r="H134" s="253">
        <v>14.73</v>
      </c>
    </row>
    <row r="135" spans="1:8" ht="13" x14ac:dyDescent="0.25">
      <c r="A135" s="566"/>
      <c r="B135" s="568"/>
      <c r="C135" s="376" t="s">
        <v>150</v>
      </c>
      <c r="D135" s="226" t="s">
        <v>52</v>
      </c>
      <c r="E135" s="102">
        <v>45.8</v>
      </c>
      <c r="F135" s="216"/>
      <c r="G135" s="101"/>
      <c r="H135" s="253"/>
    </row>
    <row r="136" spans="1:8" ht="13" x14ac:dyDescent="0.3">
      <c r="A136" s="254" t="s">
        <v>34</v>
      </c>
      <c r="B136" s="377" t="s">
        <v>46</v>
      </c>
      <c r="C136" s="376" t="s">
        <v>180</v>
      </c>
      <c r="D136" s="221" t="s">
        <v>37</v>
      </c>
      <c r="E136" s="102">
        <v>1</v>
      </c>
      <c r="F136" s="216"/>
      <c r="G136" s="101"/>
      <c r="H136" s="253"/>
    </row>
    <row r="137" spans="1:8" ht="13" x14ac:dyDescent="0.25">
      <c r="A137" s="254" t="s">
        <v>33</v>
      </c>
      <c r="B137" s="255" t="s">
        <v>47</v>
      </c>
      <c r="C137" s="376" t="s">
        <v>211</v>
      </c>
      <c r="D137" s="226" t="s">
        <v>37</v>
      </c>
      <c r="E137" s="102">
        <v>1.1200000000000001</v>
      </c>
      <c r="F137" s="216"/>
      <c r="G137" s="101"/>
      <c r="H137" s="253"/>
    </row>
    <row r="138" spans="1:8" ht="13" x14ac:dyDescent="0.25">
      <c r="A138" s="565" t="s">
        <v>7</v>
      </c>
      <c r="B138" s="567" t="s">
        <v>49</v>
      </c>
      <c r="C138" s="376" t="s">
        <v>274</v>
      </c>
      <c r="D138" s="226" t="s">
        <v>37</v>
      </c>
      <c r="E138" s="102">
        <f>G138</f>
        <v>7.9980000000000002</v>
      </c>
      <c r="F138" s="216"/>
      <c r="G138" s="102">
        <v>7.9980000000000002</v>
      </c>
      <c r="H138" s="253"/>
    </row>
    <row r="139" spans="1:8" ht="13" hidden="1" x14ac:dyDescent="0.25">
      <c r="A139" s="566"/>
      <c r="B139" s="568"/>
      <c r="C139" s="376" t="s">
        <v>280</v>
      </c>
      <c r="D139" s="226" t="s">
        <v>52</v>
      </c>
      <c r="E139" s="102"/>
      <c r="F139" s="216"/>
      <c r="G139" s="101"/>
      <c r="H139" s="253"/>
    </row>
    <row r="140" spans="1:8" s="374" customFormat="1" ht="20.399999999999999" customHeight="1" x14ac:dyDescent="0.3">
      <c r="A140" s="380"/>
      <c r="B140" s="339" t="s">
        <v>243</v>
      </c>
      <c r="C140" s="373" t="s">
        <v>104</v>
      </c>
      <c r="D140" s="230"/>
      <c r="E140" s="341">
        <f>SUM(E142:E147)</f>
        <v>1449.1200000000001</v>
      </c>
      <c r="F140" s="342">
        <f>SUM(F142:F147)</f>
        <v>1285.8599999999999</v>
      </c>
      <c r="G140" s="217">
        <f>SUM(G142:G147)</f>
        <v>12.79</v>
      </c>
      <c r="H140" s="343">
        <f>SUM(H142:H147)</f>
        <v>12.175000000000001</v>
      </c>
    </row>
    <row r="141" spans="1:8" ht="13" x14ac:dyDescent="0.3">
      <c r="A141" s="381"/>
      <c r="B141" s="346" t="s">
        <v>2</v>
      </c>
      <c r="C141" s="382"/>
      <c r="D141" s="230"/>
      <c r="E141" s="102"/>
      <c r="F141" s="216"/>
      <c r="G141" s="101"/>
      <c r="H141" s="253"/>
    </row>
    <row r="142" spans="1:8" ht="13" x14ac:dyDescent="0.25">
      <c r="A142" s="226" t="s">
        <v>23</v>
      </c>
      <c r="B142" s="348" t="s">
        <v>35</v>
      </c>
      <c r="C142" s="376" t="s">
        <v>73</v>
      </c>
      <c r="D142" s="221" t="s">
        <v>37</v>
      </c>
      <c r="E142" s="102">
        <v>3.14</v>
      </c>
      <c r="F142" s="216"/>
      <c r="G142" s="101"/>
      <c r="H142" s="253"/>
    </row>
    <row r="143" spans="1:8" ht="13" x14ac:dyDescent="0.25">
      <c r="A143" s="565" t="s">
        <v>26</v>
      </c>
      <c r="B143" s="567" t="s">
        <v>42</v>
      </c>
      <c r="C143" s="376" t="s">
        <v>74</v>
      </c>
      <c r="D143" s="226" t="s">
        <v>37</v>
      </c>
      <c r="E143" s="102">
        <f>G143+1338.71</f>
        <v>1351.2049999999999</v>
      </c>
      <c r="F143" s="216">
        <f>H143+1205.685</f>
        <v>1217.8599999999999</v>
      </c>
      <c r="G143" s="101">
        <f>0.145+12.35</f>
        <v>12.494999999999999</v>
      </c>
      <c r="H143" s="253">
        <v>12.175000000000001</v>
      </c>
    </row>
    <row r="144" spans="1:8" ht="13" x14ac:dyDescent="0.25">
      <c r="A144" s="566"/>
      <c r="B144" s="568"/>
      <c r="C144" s="376" t="s">
        <v>164</v>
      </c>
      <c r="D144" s="226" t="s">
        <v>52</v>
      </c>
      <c r="E144" s="102">
        <f>G144+91.2</f>
        <v>91.495000000000005</v>
      </c>
      <c r="F144" s="216">
        <v>68</v>
      </c>
      <c r="G144" s="101">
        <v>0.29499999999999998</v>
      </c>
      <c r="H144" s="253"/>
    </row>
    <row r="145" spans="1:8" ht="13" x14ac:dyDescent="0.3">
      <c r="A145" s="254" t="s">
        <v>34</v>
      </c>
      <c r="B145" s="377" t="s">
        <v>46</v>
      </c>
      <c r="C145" s="376" t="s">
        <v>186</v>
      </c>
      <c r="D145" s="221" t="s">
        <v>37</v>
      </c>
      <c r="E145" s="102">
        <v>1</v>
      </c>
      <c r="F145" s="216"/>
      <c r="G145" s="101"/>
      <c r="H145" s="253"/>
    </row>
    <row r="146" spans="1:8" ht="13" x14ac:dyDescent="0.3">
      <c r="A146" s="226" t="s">
        <v>33</v>
      </c>
      <c r="B146" s="384" t="s">
        <v>47</v>
      </c>
      <c r="C146" s="376" t="s">
        <v>257</v>
      </c>
      <c r="D146" s="226" t="s">
        <v>37</v>
      </c>
      <c r="E146" s="102">
        <v>2.2799999999999998</v>
      </c>
      <c r="F146" s="216"/>
      <c r="G146" s="101"/>
      <c r="H146" s="253"/>
    </row>
    <row r="147" spans="1:8" ht="13" hidden="1" x14ac:dyDescent="0.3">
      <c r="A147" s="226" t="s">
        <v>7</v>
      </c>
      <c r="B147" s="385" t="s">
        <v>49</v>
      </c>
      <c r="C147" s="376" t="s">
        <v>261</v>
      </c>
      <c r="D147" s="226" t="s">
        <v>37</v>
      </c>
      <c r="E147" s="102"/>
      <c r="F147" s="216"/>
      <c r="G147" s="101"/>
      <c r="H147" s="253"/>
    </row>
    <row r="148" spans="1:8" s="374" customFormat="1" ht="22.75" customHeight="1" x14ac:dyDescent="0.3">
      <c r="A148" s="380"/>
      <c r="B148" s="386" t="s">
        <v>158</v>
      </c>
      <c r="C148" s="373" t="s">
        <v>105</v>
      </c>
      <c r="D148" s="230"/>
      <c r="E148" s="341">
        <f>SUM(E150:E152)</f>
        <v>158.01999999999998</v>
      </c>
      <c r="F148" s="342">
        <f t="shared" ref="F148:H148" si="0">SUM(F150:F152)</f>
        <v>138.69</v>
      </c>
      <c r="G148" s="217">
        <f t="shared" si="0"/>
        <v>60.63</v>
      </c>
      <c r="H148" s="343">
        <f t="shared" si="0"/>
        <v>58.856999999999999</v>
      </c>
    </row>
    <row r="149" spans="1:8" ht="13" x14ac:dyDescent="0.3">
      <c r="A149" s="381"/>
      <c r="B149" s="346" t="s">
        <v>2</v>
      </c>
      <c r="C149" s="382"/>
      <c r="D149" s="230"/>
      <c r="E149" s="102"/>
      <c r="F149" s="216"/>
      <c r="G149" s="101"/>
      <c r="H149" s="253"/>
    </row>
    <row r="150" spans="1:8" ht="13" x14ac:dyDescent="0.3">
      <c r="A150" s="254" t="s">
        <v>23</v>
      </c>
      <c r="B150" s="384" t="s">
        <v>35</v>
      </c>
      <c r="C150" s="376" t="s">
        <v>75</v>
      </c>
      <c r="D150" s="221" t="s">
        <v>37</v>
      </c>
      <c r="E150" s="102">
        <v>0.5</v>
      </c>
      <c r="F150" s="216"/>
      <c r="G150" s="101"/>
      <c r="H150" s="253"/>
    </row>
    <row r="151" spans="1:8" ht="13" x14ac:dyDescent="0.25">
      <c r="A151" s="565" t="s">
        <v>26</v>
      </c>
      <c r="B151" s="567" t="s">
        <v>42</v>
      </c>
      <c r="C151" s="376" t="s">
        <v>76</v>
      </c>
      <c r="D151" s="221" t="s">
        <v>37</v>
      </c>
      <c r="E151" s="102">
        <f>77.01+G151+8.88+2</f>
        <v>147.6</v>
      </c>
      <c r="F151" s="216">
        <f>71.08+H151+8.753</f>
        <v>138.69</v>
      </c>
      <c r="G151" s="101">
        <v>59.71</v>
      </c>
      <c r="H151" s="253">
        <v>58.856999999999999</v>
      </c>
    </row>
    <row r="152" spans="1:8" ht="13" x14ac:dyDescent="0.25">
      <c r="A152" s="569"/>
      <c r="B152" s="568"/>
      <c r="C152" s="376" t="s">
        <v>165</v>
      </c>
      <c r="D152" s="226" t="s">
        <v>52</v>
      </c>
      <c r="E152" s="102">
        <f>G152+9</f>
        <v>9.92</v>
      </c>
      <c r="F152" s="216"/>
      <c r="G152" s="101">
        <v>0.92</v>
      </c>
      <c r="H152" s="253"/>
    </row>
    <row r="153" spans="1:8" ht="13" hidden="1" x14ac:dyDescent="0.3">
      <c r="A153" s="387"/>
      <c r="B153" s="377"/>
      <c r="C153" s="376" t="s">
        <v>81</v>
      </c>
      <c r="D153" s="221"/>
      <c r="E153" s="102"/>
      <c r="F153" s="216"/>
      <c r="G153" s="101"/>
      <c r="H153" s="253"/>
    </row>
    <row r="154" spans="1:8" s="374" customFormat="1" ht="22.25" customHeight="1" x14ac:dyDescent="0.3">
      <c r="A154" s="380"/>
      <c r="B154" s="388" t="s">
        <v>151</v>
      </c>
      <c r="C154" s="373" t="s">
        <v>106</v>
      </c>
      <c r="D154" s="230"/>
      <c r="E154" s="341">
        <f>SUM(E156:E168)</f>
        <v>493.54500000000007</v>
      </c>
      <c r="F154" s="342">
        <f t="shared" ref="F154:H154" si="1">SUM(F156:F168)</f>
        <v>290.79000000000002</v>
      </c>
      <c r="G154" s="217">
        <f t="shared" si="1"/>
        <v>11.435</v>
      </c>
      <c r="H154" s="343">
        <f t="shared" si="1"/>
        <v>3.55</v>
      </c>
    </row>
    <row r="155" spans="1:8" ht="13" x14ac:dyDescent="0.3">
      <c r="A155" s="381"/>
      <c r="B155" s="346" t="s">
        <v>2</v>
      </c>
      <c r="C155" s="382"/>
      <c r="D155" s="230"/>
      <c r="E155" s="102"/>
      <c r="F155" s="216"/>
      <c r="G155" s="101"/>
      <c r="H155" s="253"/>
    </row>
    <row r="156" spans="1:8" ht="13" x14ac:dyDescent="0.3">
      <c r="A156" s="369" t="s">
        <v>23</v>
      </c>
      <c r="B156" s="384" t="s">
        <v>35</v>
      </c>
      <c r="C156" s="376" t="s">
        <v>77</v>
      </c>
      <c r="D156" s="231" t="s">
        <v>37</v>
      </c>
      <c r="E156" s="102">
        <v>0.5</v>
      </c>
      <c r="F156" s="216"/>
      <c r="G156" s="101"/>
      <c r="H156" s="253"/>
    </row>
    <row r="157" spans="1:8" ht="13" hidden="1" x14ac:dyDescent="0.25">
      <c r="A157" s="254" t="s">
        <v>26</v>
      </c>
      <c r="B157" s="255" t="s">
        <v>42</v>
      </c>
      <c r="C157" s="376" t="s">
        <v>77</v>
      </c>
      <c r="D157" s="221" t="s">
        <v>37</v>
      </c>
      <c r="E157" s="102"/>
      <c r="F157" s="216"/>
      <c r="G157" s="101"/>
      <c r="H157" s="253"/>
    </row>
    <row r="158" spans="1:8" ht="13" hidden="1" x14ac:dyDescent="0.25">
      <c r="A158" s="565" t="s">
        <v>32</v>
      </c>
      <c r="B158" s="567" t="s">
        <v>43</v>
      </c>
      <c r="C158" s="376" t="s">
        <v>77</v>
      </c>
      <c r="D158" s="221" t="s">
        <v>37</v>
      </c>
      <c r="E158" s="102"/>
      <c r="F158" s="216"/>
      <c r="G158" s="101"/>
      <c r="H158" s="253"/>
    </row>
    <row r="159" spans="1:8" ht="13" hidden="1" x14ac:dyDescent="0.25">
      <c r="A159" s="566"/>
      <c r="B159" s="568"/>
      <c r="C159" s="376" t="s">
        <v>77</v>
      </c>
      <c r="D159" s="226" t="s">
        <v>52</v>
      </c>
      <c r="E159" s="102"/>
      <c r="F159" s="216"/>
      <c r="G159" s="101"/>
      <c r="H159" s="253"/>
    </row>
    <row r="160" spans="1:8" ht="26" hidden="1" x14ac:dyDescent="0.3">
      <c r="A160" s="389" t="s">
        <v>31</v>
      </c>
      <c r="B160" s="377" t="s">
        <v>44</v>
      </c>
      <c r="C160" s="376" t="s">
        <v>77</v>
      </c>
      <c r="D160" s="221" t="s">
        <v>37</v>
      </c>
      <c r="E160" s="102"/>
      <c r="F160" s="216"/>
      <c r="G160" s="101"/>
      <c r="H160" s="253"/>
    </row>
    <row r="161" spans="1:8" ht="13" hidden="1" x14ac:dyDescent="0.3">
      <c r="A161" s="389" t="s">
        <v>40</v>
      </c>
      <c r="B161" s="377" t="s">
        <v>116</v>
      </c>
      <c r="C161" s="376" t="s">
        <v>77</v>
      </c>
      <c r="D161" s="221" t="s">
        <v>37</v>
      </c>
      <c r="E161" s="102"/>
      <c r="F161" s="216"/>
      <c r="G161" s="101"/>
      <c r="H161" s="253"/>
    </row>
    <row r="162" spans="1:8" ht="13" hidden="1" x14ac:dyDescent="0.3">
      <c r="A162" s="389" t="s">
        <v>24</v>
      </c>
      <c r="B162" s="377" t="s">
        <v>45</v>
      </c>
      <c r="C162" s="376" t="s">
        <v>77</v>
      </c>
      <c r="D162" s="221" t="s">
        <v>37</v>
      </c>
      <c r="E162" s="102"/>
      <c r="F162" s="216"/>
      <c r="G162" s="101"/>
      <c r="H162" s="253"/>
    </row>
    <row r="163" spans="1:8" ht="13" x14ac:dyDescent="0.3">
      <c r="A163" s="254" t="s">
        <v>34</v>
      </c>
      <c r="B163" s="377" t="s">
        <v>46</v>
      </c>
      <c r="C163" s="376" t="s">
        <v>78</v>
      </c>
      <c r="D163" s="221" t="s">
        <v>37</v>
      </c>
      <c r="E163" s="102">
        <v>1</v>
      </c>
      <c r="F163" s="216"/>
      <c r="G163" s="101"/>
      <c r="H163" s="253"/>
    </row>
    <row r="164" spans="1:8" ht="13" hidden="1" x14ac:dyDescent="0.25">
      <c r="A164" s="254" t="s">
        <v>33</v>
      </c>
      <c r="B164" s="255" t="s">
        <v>47</v>
      </c>
      <c r="C164" s="376" t="s">
        <v>167</v>
      </c>
      <c r="D164" s="226" t="s">
        <v>37</v>
      </c>
      <c r="E164" s="102"/>
      <c r="F164" s="216"/>
      <c r="G164" s="101"/>
      <c r="H164" s="253"/>
    </row>
    <row r="165" spans="1:8" ht="13" x14ac:dyDescent="0.25">
      <c r="A165" s="565" t="s">
        <v>41</v>
      </c>
      <c r="B165" s="567" t="s">
        <v>48</v>
      </c>
      <c r="C165" s="376" t="s">
        <v>167</v>
      </c>
      <c r="D165" s="221" t="s">
        <v>37</v>
      </c>
      <c r="E165" s="102">
        <v>188.15</v>
      </c>
      <c r="F165" s="216">
        <v>112.095</v>
      </c>
      <c r="G165" s="101"/>
      <c r="H165" s="253"/>
    </row>
    <row r="166" spans="1:8" ht="13" x14ac:dyDescent="0.25">
      <c r="A166" s="566"/>
      <c r="B166" s="568"/>
      <c r="C166" s="376" t="s">
        <v>244</v>
      </c>
      <c r="D166" s="226" t="s">
        <v>52</v>
      </c>
      <c r="E166" s="102">
        <f>G166+104</f>
        <v>115.435</v>
      </c>
      <c r="F166" s="216">
        <f>H166+23</f>
        <v>26.55</v>
      </c>
      <c r="G166" s="101">
        <v>11.435</v>
      </c>
      <c r="H166" s="253">
        <v>3.55</v>
      </c>
    </row>
    <row r="167" spans="1:8" ht="13" x14ac:dyDescent="0.3">
      <c r="A167" s="565" t="s">
        <v>7</v>
      </c>
      <c r="B167" s="567" t="s">
        <v>49</v>
      </c>
      <c r="C167" s="376" t="s">
        <v>258</v>
      </c>
      <c r="D167" s="231" t="s">
        <v>37</v>
      </c>
      <c r="E167" s="102">
        <f>128.5+59.96</f>
        <v>188.46</v>
      </c>
      <c r="F167" s="216">
        <f>113.745+38.4</f>
        <v>152.14500000000001</v>
      </c>
      <c r="G167" s="101"/>
      <c r="H167" s="253"/>
    </row>
    <row r="168" spans="1:8" ht="13" hidden="1" x14ac:dyDescent="0.25">
      <c r="A168" s="566"/>
      <c r="B168" s="568"/>
      <c r="C168" s="376" t="s">
        <v>77</v>
      </c>
      <c r="D168" s="226" t="s">
        <v>52</v>
      </c>
      <c r="E168" s="102"/>
      <c r="F168" s="216"/>
      <c r="G168" s="101"/>
      <c r="H168" s="253"/>
    </row>
    <row r="169" spans="1:8" s="374" customFormat="1" ht="22.75" customHeight="1" x14ac:dyDescent="0.3">
      <c r="A169" s="380"/>
      <c r="B169" s="339" t="s">
        <v>19</v>
      </c>
      <c r="C169" s="373" t="s">
        <v>107</v>
      </c>
      <c r="D169" s="230"/>
      <c r="E169" s="341">
        <f>SUM(E171:E176)</f>
        <v>318.63499999999999</v>
      </c>
      <c r="F169" s="342">
        <f t="shared" ref="F169:H169" si="2">SUM(F171:F176)</f>
        <v>272.19</v>
      </c>
      <c r="G169" s="217">
        <f t="shared" si="2"/>
        <v>0</v>
      </c>
      <c r="H169" s="343">
        <f t="shared" si="2"/>
        <v>0</v>
      </c>
    </row>
    <row r="170" spans="1:8" ht="13" x14ac:dyDescent="0.3">
      <c r="A170" s="381"/>
      <c r="B170" s="346" t="s">
        <v>2</v>
      </c>
      <c r="C170" s="382"/>
      <c r="D170" s="230"/>
      <c r="E170" s="102"/>
      <c r="F170" s="216"/>
      <c r="G170" s="101"/>
      <c r="H170" s="253"/>
    </row>
    <row r="171" spans="1:8" ht="13" x14ac:dyDescent="0.25">
      <c r="A171" s="226" t="s">
        <v>23</v>
      </c>
      <c r="B171" s="348" t="s">
        <v>35</v>
      </c>
      <c r="C171" s="376" t="s">
        <v>79</v>
      </c>
      <c r="D171" s="221" t="s">
        <v>37</v>
      </c>
      <c r="E171" s="102">
        <v>0.9</v>
      </c>
      <c r="F171" s="216"/>
      <c r="G171" s="101"/>
      <c r="H171" s="253"/>
    </row>
    <row r="172" spans="1:8" ht="12.75" customHeight="1" x14ac:dyDescent="0.25">
      <c r="A172" s="565" t="s">
        <v>31</v>
      </c>
      <c r="B172" s="567" t="s">
        <v>44</v>
      </c>
      <c r="C172" s="376" t="s">
        <v>80</v>
      </c>
      <c r="D172" s="221" t="s">
        <v>37</v>
      </c>
      <c r="E172" s="102">
        <v>316.23</v>
      </c>
      <c r="F172" s="216">
        <v>272.19</v>
      </c>
      <c r="G172" s="101"/>
      <c r="H172" s="253"/>
    </row>
    <row r="173" spans="1:8" ht="13" x14ac:dyDescent="0.25">
      <c r="A173" s="566"/>
      <c r="B173" s="568"/>
      <c r="C173" s="376" t="s">
        <v>81</v>
      </c>
      <c r="D173" s="226" t="s">
        <v>52</v>
      </c>
      <c r="E173" s="102">
        <v>1</v>
      </c>
      <c r="F173" s="216"/>
      <c r="G173" s="101"/>
      <c r="H173" s="253"/>
    </row>
    <row r="174" spans="1:8" ht="13" x14ac:dyDescent="0.3">
      <c r="A174" s="254" t="s">
        <v>34</v>
      </c>
      <c r="B174" s="377" t="s">
        <v>46</v>
      </c>
      <c r="C174" s="376" t="s">
        <v>108</v>
      </c>
      <c r="D174" s="221" t="s">
        <v>37</v>
      </c>
      <c r="E174" s="102">
        <v>0.2</v>
      </c>
      <c r="F174" s="216"/>
      <c r="G174" s="101"/>
      <c r="H174" s="253"/>
    </row>
    <row r="175" spans="1:8" ht="13" x14ac:dyDescent="0.25">
      <c r="A175" s="254" t="s">
        <v>33</v>
      </c>
      <c r="B175" s="255" t="s">
        <v>47</v>
      </c>
      <c r="C175" s="376" t="s">
        <v>168</v>
      </c>
      <c r="D175" s="226" t="s">
        <v>37</v>
      </c>
      <c r="E175" s="102">
        <v>0.30499999999999999</v>
      </c>
      <c r="F175" s="216"/>
      <c r="G175" s="101"/>
      <c r="H175" s="253"/>
    </row>
    <row r="176" spans="1:8" ht="13" hidden="1" x14ac:dyDescent="0.3">
      <c r="A176" s="389" t="s">
        <v>7</v>
      </c>
      <c r="B176" s="377" t="s">
        <v>49</v>
      </c>
      <c r="C176" s="376" t="s">
        <v>169</v>
      </c>
      <c r="D176" s="226" t="s">
        <v>37</v>
      </c>
      <c r="E176" s="102"/>
      <c r="F176" s="216"/>
      <c r="G176" s="101"/>
      <c r="H176" s="253"/>
    </row>
    <row r="177" spans="1:8" s="374" customFormat="1" ht="22.25" customHeight="1" x14ac:dyDescent="0.3">
      <c r="A177" s="380"/>
      <c r="B177" s="339" t="s">
        <v>18</v>
      </c>
      <c r="C177" s="373" t="s">
        <v>109</v>
      </c>
      <c r="D177" s="230"/>
      <c r="E177" s="341">
        <f>SUM(E179:E186)</f>
        <v>1040.173</v>
      </c>
      <c r="F177" s="342">
        <f t="shared" ref="F177:H177" si="3">SUM(F179:F186)</f>
        <v>780.06000000000006</v>
      </c>
      <c r="G177" s="217">
        <f t="shared" si="3"/>
        <v>8.6829999999999998</v>
      </c>
      <c r="H177" s="343">
        <f t="shared" si="3"/>
        <v>0</v>
      </c>
    </row>
    <row r="178" spans="1:8" ht="13" x14ac:dyDescent="0.3">
      <c r="A178" s="381"/>
      <c r="B178" s="346" t="s">
        <v>2</v>
      </c>
      <c r="C178" s="382"/>
      <c r="D178" s="230"/>
      <c r="E178" s="102"/>
      <c r="F178" s="216"/>
      <c r="G178" s="101"/>
      <c r="H178" s="253"/>
    </row>
    <row r="179" spans="1:8" ht="13" x14ac:dyDescent="0.25">
      <c r="A179" s="226" t="s">
        <v>23</v>
      </c>
      <c r="B179" s="348" t="s">
        <v>35</v>
      </c>
      <c r="C179" s="376" t="s">
        <v>82</v>
      </c>
      <c r="D179" s="221" t="s">
        <v>37</v>
      </c>
      <c r="E179" s="102">
        <v>0.9</v>
      </c>
      <c r="F179" s="216"/>
      <c r="G179" s="101"/>
      <c r="H179" s="253"/>
    </row>
    <row r="180" spans="1:8" ht="13" hidden="1" x14ac:dyDescent="0.25">
      <c r="A180" s="369" t="s">
        <v>26</v>
      </c>
      <c r="B180" s="390" t="s">
        <v>42</v>
      </c>
      <c r="C180" s="376" t="s">
        <v>83</v>
      </c>
      <c r="D180" s="221" t="s">
        <v>37</v>
      </c>
      <c r="E180" s="102"/>
      <c r="F180" s="216"/>
      <c r="G180" s="101"/>
      <c r="H180" s="253"/>
    </row>
    <row r="181" spans="1:8" ht="12.75" customHeight="1" x14ac:dyDescent="0.25">
      <c r="A181" s="565" t="s">
        <v>31</v>
      </c>
      <c r="B181" s="567" t="s">
        <v>44</v>
      </c>
      <c r="C181" s="376" t="s">
        <v>83</v>
      </c>
      <c r="D181" s="221" t="s">
        <v>37</v>
      </c>
      <c r="E181" s="102">
        <f>G181+877.26+124.42</f>
        <v>1004.462</v>
      </c>
      <c r="F181" s="216">
        <f>768.39+1.2</f>
        <v>769.59</v>
      </c>
      <c r="G181" s="101">
        <v>2.782</v>
      </c>
      <c r="H181" s="253"/>
    </row>
    <row r="182" spans="1:8" ht="13" x14ac:dyDescent="0.25">
      <c r="A182" s="566"/>
      <c r="B182" s="568"/>
      <c r="C182" s="376" t="s">
        <v>84</v>
      </c>
      <c r="D182" s="226" t="s">
        <v>52</v>
      </c>
      <c r="E182" s="102">
        <f>G182+26.5</f>
        <v>32.400999999999996</v>
      </c>
      <c r="F182" s="216">
        <v>10.47</v>
      </c>
      <c r="G182" s="101">
        <v>5.9009999999999998</v>
      </c>
      <c r="H182" s="253"/>
    </row>
    <row r="183" spans="1:8" ht="13" x14ac:dyDescent="0.3">
      <c r="A183" s="254" t="s">
        <v>34</v>
      </c>
      <c r="B183" s="377" t="s">
        <v>46</v>
      </c>
      <c r="C183" s="376" t="s">
        <v>85</v>
      </c>
      <c r="D183" s="221" t="s">
        <v>37</v>
      </c>
      <c r="E183" s="102">
        <v>0.5</v>
      </c>
      <c r="F183" s="216"/>
      <c r="G183" s="101"/>
      <c r="H183" s="253"/>
    </row>
    <row r="184" spans="1:8" ht="13" x14ac:dyDescent="0.25">
      <c r="A184" s="254" t="s">
        <v>33</v>
      </c>
      <c r="B184" s="255" t="s">
        <v>47</v>
      </c>
      <c r="C184" s="376" t="s">
        <v>189</v>
      </c>
      <c r="D184" s="226" t="s">
        <v>37</v>
      </c>
      <c r="E184" s="102">
        <v>1.91</v>
      </c>
      <c r="F184" s="216"/>
      <c r="G184" s="101"/>
      <c r="H184" s="253"/>
    </row>
    <row r="185" spans="1:8" ht="13" hidden="1" x14ac:dyDescent="0.25">
      <c r="A185" s="584" t="s">
        <v>7</v>
      </c>
      <c r="B185" s="582" t="s">
        <v>49</v>
      </c>
      <c r="C185" s="376" t="s">
        <v>190</v>
      </c>
      <c r="D185" s="226" t="s">
        <v>37</v>
      </c>
      <c r="E185" s="102"/>
      <c r="F185" s="216"/>
      <c r="G185" s="101"/>
      <c r="H185" s="253"/>
    </row>
    <row r="186" spans="1:8" ht="13" hidden="1" x14ac:dyDescent="0.25">
      <c r="A186" s="585"/>
      <c r="B186" s="583"/>
      <c r="C186" s="376"/>
      <c r="D186" s="226" t="s">
        <v>52</v>
      </c>
      <c r="E186" s="102"/>
      <c r="F186" s="216"/>
      <c r="G186" s="101"/>
      <c r="H186" s="253"/>
    </row>
    <row r="187" spans="1:8" s="374" customFormat="1" ht="24.65" customHeight="1" x14ac:dyDescent="0.3">
      <c r="A187" s="380"/>
      <c r="B187" s="339" t="s">
        <v>16</v>
      </c>
      <c r="C187" s="373" t="s">
        <v>110</v>
      </c>
      <c r="D187" s="230"/>
      <c r="E187" s="341">
        <f>SUM(E189:E193,E195:E197)</f>
        <v>1056.3990000000001</v>
      </c>
      <c r="F187" s="342">
        <f t="shared" ref="F187:H187" si="4">SUM(F189:F193,F195:F197)</f>
        <v>714.91000000000008</v>
      </c>
      <c r="G187" s="217">
        <f t="shared" si="4"/>
        <v>74.569000000000017</v>
      </c>
      <c r="H187" s="343">
        <f t="shared" si="4"/>
        <v>34.1</v>
      </c>
    </row>
    <row r="188" spans="1:8" ht="13" x14ac:dyDescent="0.3">
      <c r="A188" s="381"/>
      <c r="B188" s="346" t="s">
        <v>2</v>
      </c>
      <c r="C188" s="382"/>
      <c r="D188" s="230"/>
      <c r="E188" s="102"/>
      <c r="F188" s="216"/>
      <c r="G188" s="101"/>
      <c r="H188" s="253"/>
    </row>
    <row r="189" spans="1:8" ht="13" x14ac:dyDescent="0.25">
      <c r="A189" s="226" t="s">
        <v>23</v>
      </c>
      <c r="B189" s="348" t="s">
        <v>35</v>
      </c>
      <c r="C189" s="376" t="s">
        <v>86</v>
      </c>
      <c r="D189" s="221" t="s">
        <v>37</v>
      </c>
      <c r="E189" s="102">
        <v>0.9</v>
      </c>
      <c r="F189" s="216"/>
      <c r="G189" s="101"/>
      <c r="H189" s="253"/>
    </row>
    <row r="190" spans="1:8" ht="13" hidden="1" x14ac:dyDescent="0.25">
      <c r="A190" s="369" t="s">
        <v>26</v>
      </c>
      <c r="B190" s="390" t="s">
        <v>42</v>
      </c>
      <c r="C190" s="376"/>
      <c r="D190" s="221" t="s">
        <v>37</v>
      </c>
      <c r="E190" s="102"/>
      <c r="F190" s="216"/>
      <c r="G190" s="101"/>
      <c r="H190" s="253"/>
    </row>
    <row r="191" spans="1:8" ht="13" x14ac:dyDescent="0.25">
      <c r="A191" s="565" t="s">
        <v>24</v>
      </c>
      <c r="B191" s="567" t="s">
        <v>45</v>
      </c>
      <c r="C191" s="376" t="s">
        <v>87</v>
      </c>
      <c r="D191" s="221" t="s">
        <v>37</v>
      </c>
      <c r="E191" s="102">
        <f>G191+590.35+26.7</f>
        <v>691.4860000000001</v>
      </c>
      <c r="F191" s="216">
        <f>H191+476.76+17.44</f>
        <v>528.30000000000007</v>
      </c>
      <c r="G191" s="101">
        <f>0.376+34.84+39.22</f>
        <v>74.436000000000007</v>
      </c>
      <c r="H191" s="253">
        <v>34.1</v>
      </c>
    </row>
    <row r="192" spans="1:8" ht="13" x14ac:dyDescent="0.25">
      <c r="A192" s="569"/>
      <c r="B192" s="572"/>
      <c r="C192" s="376" t="s">
        <v>209</v>
      </c>
      <c r="D192" s="226" t="s">
        <v>52</v>
      </c>
      <c r="E192" s="102">
        <f>G192+259.4</f>
        <v>259.52</v>
      </c>
      <c r="F192" s="216">
        <v>186</v>
      </c>
      <c r="G192" s="101">
        <v>0.12</v>
      </c>
      <c r="H192" s="253"/>
    </row>
    <row r="193" spans="1:8" ht="13" x14ac:dyDescent="0.25">
      <c r="A193" s="569"/>
      <c r="B193" s="568"/>
      <c r="C193" s="376" t="s">
        <v>238</v>
      </c>
      <c r="D193" s="226" t="s">
        <v>119</v>
      </c>
      <c r="E193" s="102">
        <f>E194</f>
        <v>100</v>
      </c>
      <c r="F193" s="216"/>
      <c r="G193" s="101"/>
      <c r="H193" s="253"/>
    </row>
    <row r="194" spans="1:8" s="365" customFormat="1" ht="39" x14ac:dyDescent="0.3">
      <c r="A194" s="566"/>
      <c r="B194" s="391" t="s">
        <v>287</v>
      </c>
      <c r="C194" s="392" t="s">
        <v>286</v>
      </c>
      <c r="D194" s="220" t="s">
        <v>119</v>
      </c>
      <c r="E194" s="362">
        <v>100</v>
      </c>
      <c r="F194" s="356"/>
      <c r="G194" s="363"/>
      <c r="H194" s="364"/>
    </row>
    <row r="195" spans="1:8" ht="13" x14ac:dyDescent="0.3">
      <c r="A195" s="254" t="s">
        <v>34</v>
      </c>
      <c r="B195" s="377" t="s">
        <v>46</v>
      </c>
      <c r="C195" s="376" t="s">
        <v>240</v>
      </c>
      <c r="D195" s="221" t="s">
        <v>37</v>
      </c>
      <c r="E195" s="102">
        <f>0.62+1+0.78</f>
        <v>2.4000000000000004</v>
      </c>
      <c r="F195" s="216">
        <v>0.61</v>
      </c>
      <c r="G195" s="101"/>
      <c r="H195" s="253"/>
    </row>
    <row r="196" spans="1:8" ht="13" x14ac:dyDescent="0.25">
      <c r="A196" s="226" t="s">
        <v>33</v>
      </c>
      <c r="B196" s="372" t="s">
        <v>47</v>
      </c>
      <c r="C196" s="376" t="s">
        <v>241</v>
      </c>
      <c r="D196" s="226" t="s">
        <v>37</v>
      </c>
      <c r="E196" s="102">
        <f>G196+2.08</f>
        <v>2.093</v>
      </c>
      <c r="F196" s="216"/>
      <c r="G196" s="101">
        <v>1.2999999999999999E-2</v>
      </c>
      <c r="H196" s="253"/>
    </row>
    <row r="197" spans="1:8" ht="13" hidden="1" x14ac:dyDescent="0.3">
      <c r="A197" s="389" t="s">
        <v>7</v>
      </c>
      <c r="B197" s="377" t="s">
        <v>49</v>
      </c>
      <c r="C197" s="376" t="s">
        <v>242</v>
      </c>
      <c r="D197" s="231" t="s">
        <v>37</v>
      </c>
      <c r="E197" s="102"/>
      <c r="F197" s="216"/>
      <c r="G197" s="101"/>
      <c r="H197" s="253"/>
    </row>
    <row r="198" spans="1:8" s="374" customFormat="1" ht="22.25" customHeight="1" x14ac:dyDescent="0.3">
      <c r="A198" s="393"/>
      <c r="B198" s="339" t="s">
        <v>155</v>
      </c>
      <c r="C198" s="394" t="s">
        <v>111</v>
      </c>
      <c r="D198" s="251"/>
      <c r="E198" s="341">
        <f>SUM(E200:E206)</f>
        <v>638.61599999999999</v>
      </c>
      <c r="F198" s="342">
        <f>SUM(F200:F206)</f>
        <v>527.74</v>
      </c>
      <c r="G198" s="217">
        <f>SUM(G200:G206)</f>
        <v>42.846000000000004</v>
      </c>
      <c r="H198" s="343">
        <f>SUM(H200:H206)</f>
        <v>41.37</v>
      </c>
    </row>
    <row r="199" spans="1:8" ht="13" x14ac:dyDescent="0.3">
      <c r="A199" s="381"/>
      <c r="B199" s="346" t="s">
        <v>2</v>
      </c>
      <c r="C199" s="382"/>
      <c r="D199" s="230"/>
      <c r="E199" s="102"/>
      <c r="F199" s="216"/>
      <c r="G199" s="101"/>
      <c r="H199" s="253"/>
    </row>
    <row r="200" spans="1:8" ht="13" x14ac:dyDescent="0.25">
      <c r="A200" s="226" t="s">
        <v>23</v>
      </c>
      <c r="B200" s="348" t="s">
        <v>35</v>
      </c>
      <c r="C200" s="376" t="s">
        <v>88</v>
      </c>
      <c r="D200" s="221" t="s">
        <v>37</v>
      </c>
      <c r="E200" s="102">
        <v>0.9</v>
      </c>
      <c r="F200" s="216"/>
      <c r="G200" s="101"/>
      <c r="H200" s="253"/>
    </row>
    <row r="201" spans="1:8" ht="13" hidden="1" x14ac:dyDescent="0.25">
      <c r="A201" s="369" t="s">
        <v>26</v>
      </c>
      <c r="B201" s="390" t="s">
        <v>42</v>
      </c>
      <c r="C201" s="376" t="s">
        <v>89</v>
      </c>
      <c r="D201" s="221" t="s">
        <v>37</v>
      </c>
      <c r="E201" s="102"/>
      <c r="F201" s="216"/>
      <c r="G201" s="101"/>
      <c r="H201" s="253"/>
    </row>
    <row r="202" spans="1:8" ht="13" x14ac:dyDescent="0.25">
      <c r="A202" s="565" t="s">
        <v>24</v>
      </c>
      <c r="B202" s="567" t="s">
        <v>45</v>
      </c>
      <c r="C202" s="376" t="s">
        <v>89</v>
      </c>
      <c r="D202" s="221" t="s">
        <v>37</v>
      </c>
      <c r="E202" s="102">
        <f>G202+509.87+67.63</f>
        <v>619.77</v>
      </c>
      <c r="F202" s="216">
        <f>H202+442.13+33.64</f>
        <v>517.14</v>
      </c>
      <c r="G202" s="101">
        <v>42.27</v>
      </c>
      <c r="H202" s="253">
        <v>41.37</v>
      </c>
    </row>
    <row r="203" spans="1:8" ht="13" x14ac:dyDescent="0.25">
      <c r="A203" s="566"/>
      <c r="B203" s="568"/>
      <c r="C203" s="376" t="s">
        <v>171</v>
      </c>
      <c r="D203" s="226" t="s">
        <v>52</v>
      </c>
      <c r="E203" s="102">
        <f>G203+16</f>
        <v>16.576000000000001</v>
      </c>
      <c r="F203" s="216">
        <v>10.6</v>
      </c>
      <c r="G203" s="101">
        <v>0.57599999999999996</v>
      </c>
      <c r="H203" s="253"/>
    </row>
    <row r="204" spans="1:8" ht="13" x14ac:dyDescent="0.3">
      <c r="A204" s="254" t="s">
        <v>34</v>
      </c>
      <c r="B204" s="377" t="s">
        <v>46</v>
      </c>
      <c r="C204" s="376" t="s">
        <v>172</v>
      </c>
      <c r="D204" s="221" t="s">
        <v>37</v>
      </c>
      <c r="E204" s="102">
        <f>0.5+0.19</f>
        <v>0.69</v>
      </c>
      <c r="F204" s="216"/>
      <c r="G204" s="101"/>
      <c r="H204" s="253"/>
    </row>
    <row r="205" spans="1:8" ht="13" x14ac:dyDescent="0.25">
      <c r="A205" s="254" t="s">
        <v>33</v>
      </c>
      <c r="B205" s="255" t="s">
        <v>47</v>
      </c>
      <c r="C205" s="376" t="s">
        <v>260</v>
      </c>
      <c r="D205" s="226" t="s">
        <v>37</v>
      </c>
      <c r="E205" s="102">
        <v>0.68</v>
      </c>
      <c r="F205" s="216"/>
      <c r="G205" s="101"/>
      <c r="H205" s="253"/>
    </row>
    <row r="206" spans="1:8" ht="13" hidden="1" x14ac:dyDescent="0.3">
      <c r="A206" s="389" t="s">
        <v>7</v>
      </c>
      <c r="B206" s="377" t="s">
        <v>49</v>
      </c>
      <c r="C206" s="376" t="s">
        <v>271</v>
      </c>
      <c r="D206" s="231" t="s">
        <v>37</v>
      </c>
      <c r="E206" s="102"/>
      <c r="F206" s="216"/>
      <c r="G206" s="101"/>
      <c r="H206" s="253"/>
    </row>
    <row r="207" spans="1:8" s="374" customFormat="1" ht="21" customHeight="1" x14ac:dyDescent="0.3">
      <c r="A207" s="395"/>
      <c r="B207" s="339" t="s">
        <v>3</v>
      </c>
      <c r="C207" s="373" t="s">
        <v>112</v>
      </c>
      <c r="D207" s="230"/>
      <c r="E207" s="341">
        <f>E209</f>
        <v>60</v>
      </c>
      <c r="F207" s="342">
        <f>F209</f>
        <v>0</v>
      </c>
      <c r="G207" s="217">
        <f>G209</f>
        <v>0</v>
      </c>
      <c r="H207" s="343">
        <f>H209</f>
        <v>0</v>
      </c>
    </row>
    <row r="208" spans="1:8" ht="13" x14ac:dyDescent="0.3">
      <c r="A208" s="396"/>
      <c r="B208" s="397" t="s">
        <v>2</v>
      </c>
      <c r="C208" s="347"/>
      <c r="D208" s="226"/>
      <c r="E208" s="102"/>
      <c r="F208" s="216"/>
      <c r="G208" s="101"/>
      <c r="H208" s="253"/>
    </row>
    <row r="209" spans="1:9" ht="13.5" thickBot="1" x14ac:dyDescent="0.35">
      <c r="A209" s="398" t="s">
        <v>23</v>
      </c>
      <c r="B209" s="385" t="s">
        <v>35</v>
      </c>
      <c r="C209" s="399" t="s">
        <v>90</v>
      </c>
      <c r="D209" s="233" t="s">
        <v>37</v>
      </c>
      <c r="E209" s="400">
        <v>60</v>
      </c>
      <c r="F209" s="401"/>
      <c r="G209" s="252"/>
      <c r="H209" s="402"/>
    </row>
    <row r="210" spans="1:9" ht="21" customHeight="1" thickBot="1" x14ac:dyDescent="0.35">
      <c r="A210" s="403"/>
      <c r="B210" s="404" t="s">
        <v>175</v>
      </c>
      <c r="C210" s="405" t="s">
        <v>113</v>
      </c>
      <c r="D210" s="405"/>
      <c r="E210" s="406">
        <f>SUM(E207,E198,E187,E177,E169,E154,E148,E131,E122,E113,E104,E95,E87,E78,E70,E61,E53,E17,E14,E140)</f>
        <v>28419.536999999997</v>
      </c>
      <c r="F210" s="407">
        <f>SUM(F207,F198,F187,F177,F169,F154,F148,F131,F122,F113,F104,F95,F87,F78,F70,F61,F53,F17,F14,F140)</f>
        <v>10503.803</v>
      </c>
      <c r="G210" s="408">
        <f>SUM(G207,G198,G187,G177,G169,G154,G148,G131,G122,G113,G104,G95,G87,G78,G70,G61,G53,G17,G14,G140)</f>
        <v>6860.4469999999992</v>
      </c>
      <c r="H210" s="407">
        <f>SUM(H207,H198,H187,H177,H169,H154,H148,H131,H122,H113,H104,H95,H87,H78,H70,H61,H53,H17,H14,H140)</f>
        <v>305.79500000000002</v>
      </c>
    </row>
    <row r="211" spans="1:9" ht="13" x14ac:dyDescent="0.3">
      <c r="A211" s="409"/>
      <c r="B211" s="410" t="s">
        <v>2</v>
      </c>
      <c r="C211" s="411"/>
      <c r="D211" s="235"/>
      <c r="E211" s="412"/>
      <c r="F211" s="413"/>
      <c r="G211" s="414"/>
      <c r="H211" s="415"/>
    </row>
    <row r="212" spans="1:9" ht="13" hidden="1" x14ac:dyDescent="0.3">
      <c r="A212" s="416"/>
      <c r="B212" s="417" t="s">
        <v>179</v>
      </c>
      <c r="C212" s="418"/>
      <c r="D212" s="238"/>
      <c r="E212" s="102">
        <v>0</v>
      </c>
      <c r="F212" s="216"/>
      <c r="G212" s="101"/>
      <c r="H212" s="253"/>
    </row>
    <row r="213" spans="1:9" ht="13.5" x14ac:dyDescent="0.3">
      <c r="A213" s="419"/>
      <c r="B213" s="420" t="s">
        <v>196</v>
      </c>
      <c r="C213" s="421"/>
      <c r="D213" s="247"/>
      <c r="E213" s="422">
        <f>G213+48.395+41.605</f>
        <v>590.14499999999998</v>
      </c>
      <c r="F213" s="356"/>
      <c r="G213" s="363">
        <v>500.14499999999998</v>
      </c>
      <c r="H213" s="364"/>
    </row>
    <row r="214" spans="1:9" ht="14" thickBot="1" x14ac:dyDescent="0.35">
      <c r="A214" s="419"/>
      <c r="B214" s="420" t="s">
        <v>195</v>
      </c>
      <c r="C214" s="421"/>
      <c r="D214" s="247"/>
      <c r="E214" s="422">
        <f>G214+1</f>
        <v>11.754</v>
      </c>
      <c r="F214" s="423"/>
      <c r="G214" s="424">
        <v>10.754</v>
      </c>
      <c r="H214" s="425"/>
    </row>
    <row r="215" spans="1:9" ht="13.5" hidden="1" thickBot="1" x14ac:dyDescent="0.35">
      <c r="A215" s="419"/>
      <c r="B215" s="426"/>
      <c r="C215" s="427"/>
      <c r="D215" s="239"/>
      <c r="E215" s="400"/>
      <c r="F215" s="401"/>
      <c r="G215" s="252"/>
      <c r="H215" s="402"/>
    </row>
    <row r="216" spans="1:9" ht="19.25" customHeight="1" thickBot="1" x14ac:dyDescent="0.35">
      <c r="A216" s="428"/>
      <c r="B216" s="429" t="s">
        <v>176</v>
      </c>
      <c r="C216" s="234" t="s">
        <v>114</v>
      </c>
      <c r="D216" s="234"/>
      <c r="E216" s="406">
        <f>G216+636.959+11</f>
        <v>655.46999999999991</v>
      </c>
      <c r="F216" s="430"/>
      <c r="G216" s="406">
        <v>7.5110000000000001</v>
      </c>
      <c r="H216" s="407"/>
    </row>
    <row r="217" spans="1:9" ht="22.25" customHeight="1" thickBot="1" x14ac:dyDescent="0.35">
      <c r="A217" s="431"/>
      <c r="B217" s="432" t="s">
        <v>259</v>
      </c>
      <c r="C217" s="570"/>
      <c r="D217" s="571"/>
      <c r="E217" s="433">
        <f>E210-E216</f>
        <v>27764.066999999995</v>
      </c>
      <c r="F217" s="434">
        <f t="shared" ref="F217:H217" si="5">F210-F216</f>
        <v>10503.803</v>
      </c>
      <c r="G217" s="433">
        <f>G210-G216</f>
        <v>6852.9359999999988</v>
      </c>
      <c r="H217" s="435">
        <f t="shared" si="5"/>
        <v>305.79500000000002</v>
      </c>
    </row>
    <row r="218" spans="1:9" ht="13" x14ac:dyDescent="0.25">
      <c r="A218" s="436"/>
      <c r="B218" s="437" t="s">
        <v>2</v>
      </c>
      <c r="C218" s="575"/>
      <c r="D218" s="576"/>
      <c r="E218" s="438"/>
      <c r="F218" s="439"/>
      <c r="G218" s="438"/>
      <c r="H218" s="439"/>
    </row>
    <row r="219" spans="1:9" ht="13" x14ac:dyDescent="0.25">
      <c r="A219" s="440"/>
      <c r="B219" s="441" t="s">
        <v>121</v>
      </c>
      <c r="C219" s="573" t="s">
        <v>37</v>
      </c>
      <c r="D219" s="574"/>
      <c r="E219" s="101">
        <f>SUM(E209,E202,E191,E181,E171:E172,E167,E162,E161,E160,E158,E156,E157,E151,E133:E134,E124:E125,E115:E116,E106:E107,E97:E98,E89:E90,E82,E72:E73,E63:E64,E55:E56,E46,E43,E42,E38,E34,E33,E27:E31,E25,E22,E24,E16,E206,E205,E197,E196,E195,E184,E165,E164,E150,E137,E128,E119,E110,E101,E93,E85,E76:E77,E67,E60,E59,E111,E102,E138,E201,E189:E190,E129,E121,E86,E68,E94,E179:E180,E80,E200,E142,E143,E146,E185,E204,E183,E174,E163,E145,E136,E127,E118,E109,E100,E92,E84,E75,E66,E58,E176,E147,E175,E36,E35)-E216</f>
        <v>25551.130000000012</v>
      </c>
      <c r="F219" s="253">
        <f>SUM(F209,F202,F191,F181,F171:F172,F167,F162,F161,F160,F158,F156,F157,F151,F133:F134,F124:F125,F115:F116,F106:F107,F97:F98,F89:F90,F82,F72:F73,F63:F64,F55:F56,F46,F43,F42,F38,F34,F33,F27:F31,F25,F22,F24,F16,F206,F205,F197,F196,F195,F184,F165,F164,F150,F137,F128,F119,F110,F101,F93,F85,F76:F77,F67,F60,F59,F111,F102,F138,F201,F189:F190,F129,F121,F86,F68,F94,F179:F180,F80,F200,F142,F143,F146,F185,F204,F183,F174,F163,F145,F136,F127,F118,F109,F100,F92,F84,F75,F66,F58,F176,F147,F175,F36,F35)</f>
        <v>10202.183000000001</v>
      </c>
      <c r="G219" s="101">
        <f>SUM(G209,G202,G191,G181,G171:G172,G167,G162,G161,G160,G158,G156,G157,G151,G133:G134,G124:G125,G115:G116,G106:G107,G97:G98,G89:G90,G82,G72:G73,G63:G64,G55:G56,G46,G43,G42,G38,G34,G33,G27:G31,G25,G22,G24,G16,G206,G205,G197,G196,G195,G184,G165,G164,G150,G137,G128,G119,G110,G101,G93,G85,G76:G77,G67,G60,G59,G111,G102,G138,G201,G189:G190,G129,G121,G86,G68,G94,G179:G180,G80,G200,G142,G143,G146,G185,G204,G183,G174,G163,G145,G136,G127,G118,G109,G100,G92,G84,G75,G66,G58,G176,G147,G175,G36,G35)-G216</f>
        <v>6818.3889999999983</v>
      </c>
      <c r="H219" s="253">
        <f>SUM(H209,H202,H191,H181,H171:H172,H167,H162,H161,H160,H158,H156,H157,H151,H133:H134,H124:H125,H115:H116,H106:H107,H97:H98,H89:H90,H82,H72:H73,H63:H64,H55:H56,H46,H43,H42,H38,H34,H33,H27:H31,H25,H22,H24,H16,H206,H205,H197,H196,H195,H184,H165,H164,H150,H137,H128,H119,H110,H101,H93,H85,H76:H77,H67,H60,H59,H111,H102,H138,H201,H189:H190,H129,H121,H86,H68,H94,H179:H180,H80,H200,H142,H143,H146,H185,H204,H183,H174,H163,H145,H136,H127,H118,H109,H100,H92,H84,H75,H66,H58,H176,H147,H175,H36,H35)</f>
        <v>302.24500000000006</v>
      </c>
    </row>
    <row r="220" spans="1:9" ht="13" x14ac:dyDescent="0.25">
      <c r="A220" s="442"/>
      <c r="B220" s="441" t="s">
        <v>122</v>
      </c>
      <c r="C220" s="573" t="s">
        <v>52</v>
      </c>
      <c r="D220" s="574"/>
      <c r="E220" s="101">
        <f>SUM(E203,E192,E182,E173,E159,E152,E135,E126,E117,E108,E99,E91,E83,E81,E74,E65,E57,E23,E166,E103,E112,E139,E130,E47,E69,E168,E144,E186,E120)</f>
        <v>1084.547</v>
      </c>
      <c r="F220" s="253">
        <f>SUM(F203,F192,F182,F173,F159,F152,F135,F126,F117,F108,F99,F91,F83,F81,F74,F65,F57,F23,F166,F103,F112,F139,F130,F47,F69,F168,F144,F186,F120)</f>
        <v>301.62</v>
      </c>
      <c r="G220" s="101">
        <f>SUM(G203,G192,G182,G173,G159,G152,G135,G126,G117,G108,G99,G91,G83,G81,G74,G65,G57,G23,G166,G103,G112,G139,G130,G47,G69,G168,G144,G186,G120)</f>
        <v>34.546999999999997</v>
      </c>
      <c r="H220" s="253">
        <f>SUM(H203,H192,H182,H173,H159,H152,H135,H126,H117,H108,H99,H91,H83,H81,H74,H65,H57,H23,H166,H103,H112,H139,H130,H47,H69,H168,H144,H186,H120)</f>
        <v>3.55</v>
      </c>
    </row>
    <row r="221" spans="1:9" ht="13.5" thickBot="1" x14ac:dyDescent="0.3">
      <c r="A221" s="443"/>
      <c r="B221" s="444" t="s">
        <v>123</v>
      </c>
      <c r="C221" s="577" t="s">
        <v>119</v>
      </c>
      <c r="D221" s="578"/>
      <c r="E221" s="445">
        <f>SUM(E48,E193)</f>
        <v>1128.3899999999999</v>
      </c>
      <c r="F221" s="446">
        <f>SUM(F48,F193)</f>
        <v>0</v>
      </c>
      <c r="G221" s="445">
        <f>SUM(G48,G193)</f>
        <v>0</v>
      </c>
      <c r="H221" s="446">
        <f>SUM(H48,H193)</f>
        <v>0</v>
      </c>
    </row>
    <row r="222" spans="1:9" ht="23.4" customHeight="1" x14ac:dyDescent="0.25">
      <c r="A222" s="436"/>
      <c r="B222" s="437" t="s">
        <v>2</v>
      </c>
      <c r="C222" s="447"/>
      <c r="D222" s="263"/>
      <c r="E222" s="438"/>
      <c r="F222" s="439"/>
      <c r="G222" s="414"/>
      <c r="H222" s="415"/>
    </row>
    <row r="223" spans="1:9" ht="13" x14ac:dyDescent="0.3">
      <c r="A223" s="384"/>
      <c r="B223" s="448" t="s">
        <v>35</v>
      </c>
      <c r="C223" s="573">
        <v>1</v>
      </c>
      <c r="D223" s="574"/>
      <c r="E223" s="101">
        <f>SUM(E209,E81,E16,E22:E23,E156,E150,E200,E189,E179,E171,E133,E124,E115,E106,E97,E89,E80,E72,E63,E55,E142)-E216</f>
        <v>3624.3519999999949</v>
      </c>
      <c r="F223" s="253">
        <f>SUM(F209,F81,F16,F22,F156,F150,F200,F189,F179,F171,F133,F124,F115,F106,F97,F89,F80,F72,F63,F55,F142)</f>
        <v>2276.38</v>
      </c>
      <c r="G223" s="101">
        <f>SUM(G209,G81,G16,G22:G23,G156,G150,G200,G189,G179,G171,G133,G124,G115,G106,G97,G89,G80,G72,G63,G55,G142)-G216</f>
        <v>270.16699999999997</v>
      </c>
      <c r="H223" s="253">
        <f>SUM(H209,H81,H14,H20:H21,H156,H150,H200,H189,H179,H171,H133,H124,H115,H106,H97,H89,H80,H72,H63,H55,H142)</f>
        <v>0</v>
      </c>
      <c r="I223" s="449"/>
    </row>
    <row r="224" spans="1:9" ht="13" x14ac:dyDescent="0.25">
      <c r="A224" s="442"/>
      <c r="B224" s="450" t="s">
        <v>42</v>
      </c>
      <c r="C224" s="573">
        <v>2</v>
      </c>
      <c r="D224" s="574"/>
      <c r="E224" s="101">
        <f>SUM(E157,E151:E152,E134:E135,E125:E126,E116:E117,E107:E108,E98:E99,E90:E91,E82:E83,E73:E74,E64:E65,E56:E57,E24,E201,E190,E180,E143,E144)</f>
        <v>6266.3729999999996</v>
      </c>
      <c r="F224" s="253">
        <f>SUM(F157,F151:F152,F134:F135,F125:F126,F116:F117,F107:F108,F98:F99,F90:F91,F82:F83,F73:F74,F64:F65,F56:F57,F24,F201,F190,F180,F143,F144)</f>
        <v>4466.5320000000002</v>
      </c>
      <c r="G224" s="101">
        <f>SUM(G157,G151:G152,G134:G135,G125:G126,G116:G117,G107:G108,G98:G99,G90:G91,G82:G83,G73:G74,G64:G65,G56:G57,G24,G201,G190,G180,G143,G144)</f>
        <v>300.69300000000004</v>
      </c>
      <c r="H224" s="253">
        <f>SUM(H157,H151:H152,H134:H135,H125:H126,H116:H117,H107:H108,H98:H99,H90:H91,H82:H83,H73:H74,H64:H65,H56:H57,H24,H201,H190,H180,H143,H144)</f>
        <v>222.20400000000001</v>
      </c>
      <c r="I224" s="449"/>
    </row>
    <row r="225" spans="1:9" ht="13" x14ac:dyDescent="0.25">
      <c r="A225" s="442"/>
      <c r="B225" s="450" t="s">
        <v>120</v>
      </c>
      <c r="C225" s="573">
        <v>3</v>
      </c>
      <c r="D225" s="574"/>
      <c r="E225" s="101">
        <f>SUM(E27,E158,E159)</f>
        <v>1564.759</v>
      </c>
      <c r="F225" s="253">
        <f>SUM(F27,F158,F159)</f>
        <v>0.36</v>
      </c>
      <c r="G225" s="101">
        <f>SUM(G27,G158,G159)</f>
        <v>455.959</v>
      </c>
      <c r="H225" s="253">
        <f>SUM(H27,H158,H159)</f>
        <v>0.36</v>
      </c>
      <c r="I225" s="449"/>
    </row>
    <row r="226" spans="1:9" ht="25.25" customHeight="1" x14ac:dyDescent="0.25">
      <c r="A226" s="442"/>
      <c r="B226" s="451" t="s">
        <v>44</v>
      </c>
      <c r="C226" s="573">
        <v>4</v>
      </c>
      <c r="D226" s="574"/>
      <c r="E226" s="101">
        <f>SUM(E160,E181,E182,E172,E173,E33)</f>
        <v>1449.5930000000001</v>
      </c>
      <c r="F226" s="253">
        <f>SUM(F160,F181,F182,F172,F173,F33)</f>
        <v>1052.25</v>
      </c>
      <c r="G226" s="101">
        <f>SUM(G160,G181,G182,G172,G173,G33)</f>
        <v>18.683</v>
      </c>
      <c r="H226" s="253">
        <f>SUM(H160,H181,H182,H172,H173,H33)</f>
        <v>0</v>
      </c>
      <c r="I226" s="449"/>
    </row>
    <row r="227" spans="1:9" ht="13" x14ac:dyDescent="0.25">
      <c r="A227" s="442"/>
      <c r="B227" s="450" t="s">
        <v>116</v>
      </c>
      <c r="C227" s="573">
        <v>5</v>
      </c>
      <c r="D227" s="574"/>
      <c r="E227" s="101">
        <f>SUM(E35,E161)</f>
        <v>243.34800000000001</v>
      </c>
      <c r="F227" s="253">
        <f>SUM(F35,F161)</f>
        <v>0</v>
      </c>
      <c r="G227" s="101">
        <f>SUM(G35,G161)</f>
        <v>85.347999999999999</v>
      </c>
      <c r="H227" s="253">
        <f>SUM(H35,H161)</f>
        <v>0</v>
      </c>
      <c r="I227" s="449"/>
    </row>
    <row r="228" spans="1:9" ht="13" x14ac:dyDescent="0.25">
      <c r="A228" s="442"/>
      <c r="B228" s="450" t="s">
        <v>45</v>
      </c>
      <c r="C228" s="573">
        <v>6</v>
      </c>
      <c r="D228" s="574"/>
      <c r="E228" s="101">
        <f>SUM(E203,E202,E192,E191,E162,E36:E37,E193)</f>
        <v>3726.6090000000004</v>
      </c>
      <c r="F228" s="253">
        <f t="shared" ref="F228:H228" si="6">SUM(F203,F202,F192,F191,F162,F36:F37,F193)</f>
        <v>1242.04</v>
      </c>
      <c r="G228" s="101">
        <f t="shared" si="6"/>
        <v>741.08900000000006</v>
      </c>
      <c r="H228" s="253">
        <f t="shared" si="6"/>
        <v>75.47</v>
      </c>
      <c r="I228" s="449"/>
    </row>
    <row r="229" spans="1:9" ht="13" x14ac:dyDescent="0.25">
      <c r="A229" s="442"/>
      <c r="B229" s="450" t="s">
        <v>46</v>
      </c>
      <c r="C229" s="573">
        <v>7</v>
      </c>
      <c r="D229" s="574"/>
      <c r="E229" s="101">
        <f>SUM(E38,E195,E204,E183,,E174,E163,E145,E136,E127,E118,E109,E100,E92,E84,E75,E66,E58)</f>
        <v>55.948999999999998</v>
      </c>
      <c r="F229" s="253">
        <f>SUM(F38,F195,F204,F183,,F174,F163,F145,F136,F127,F118,F109,F100,F92,F84,F75,F66,F58)</f>
        <v>0.61</v>
      </c>
      <c r="G229" s="101">
        <f>SUM(G38,G195,G204,G183,,G174,G163,G145,G136,G127,G118,G109,G100,G92,G84,G75,G66,G58)</f>
        <v>14.558999999999999</v>
      </c>
      <c r="H229" s="253">
        <f>SUM(H38,H195,H204,H183,,H174,H163,H145,H136,H127,H118,H109,H100,H92,H84,H75,H66,H58)</f>
        <v>0</v>
      </c>
      <c r="I229" s="449"/>
    </row>
    <row r="230" spans="1:9" ht="13" x14ac:dyDescent="0.25">
      <c r="A230" s="442"/>
      <c r="B230" s="450" t="s">
        <v>47</v>
      </c>
      <c r="C230" s="573">
        <v>8</v>
      </c>
      <c r="D230" s="574"/>
      <c r="E230" s="101">
        <f>SUM(E42,E59,E67,E76,E85,E93,E101,E110,E119,E128,E137,E164,E184,E196,E205,E146,E175)</f>
        <v>3149.2979999999993</v>
      </c>
      <c r="F230" s="253">
        <f>SUM(F42,F59,F67,F76,F85,F93,F101,F110,F119,F128,F137,F164,F184,F196,F205,F146,F175)</f>
        <v>1131.68</v>
      </c>
      <c r="G230" s="101">
        <f>SUM(G42,G59,G67,G76,G85,G93,G101,G110,G119,G128,G137,G164,G184,G196,G205,G146,G175)</f>
        <v>306.55799999999994</v>
      </c>
      <c r="H230" s="253">
        <f>SUM(H42,H59,H67,H76,H85,H93,H101,H110,H119,H128,H137,H164,H184,H196,H205,H146,H175)</f>
        <v>0</v>
      </c>
      <c r="I230" s="449"/>
    </row>
    <row r="231" spans="1:9" ht="13" x14ac:dyDescent="0.25">
      <c r="A231" s="442"/>
      <c r="B231" s="450" t="s">
        <v>48</v>
      </c>
      <c r="C231" s="573">
        <v>9</v>
      </c>
      <c r="D231" s="574"/>
      <c r="E231" s="101">
        <f>SUM(E43,E165,E166)</f>
        <v>839.23299999999995</v>
      </c>
      <c r="F231" s="253">
        <f>SUM(F43,F165,F166)</f>
        <v>177.59500000000003</v>
      </c>
      <c r="G231" s="101">
        <f>SUM(G43,G165,G166)</f>
        <v>173.52700000000002</v>
      </c>
      <c r="H231" s="253">
        <f>SUM(H43,H165,H166)</f>
        <v>3.55</v>
      </c>
      <c r="I231" s="449"/>
    </row>
    <row r="232" spans="1:9" ht="13.5" thickBot="1" x14ac:dyDescent="0.3">
      <c r="A232" s="443"/>
      <c r="B232" s="452" t="s">
        <v>49</v>
      </c>
      <c r="C232" s="577">
        <v>10</v>
      </c>
      <c r="D232" s="578"/>
      <c r="E232" s="445">
        <f>SUM(E186,E167,E46:E48,E206,E197,E60,E138,E102,E111,E129,E121,E86,E68,E94,E77,E103,E130,E69,E168,E112,E185,E176,E147)</f>
        <v>6844.552999999999</v>
      </c>
      <c r="F232" s="446">
        <f>SUM(F186,F167,F46:F48,F206,F197,F60,F138,F102,F111,F129,F121,F86,F68,F94,F77,F103,F130,F69,F168,F112,F185,F176,F147)</f>
        <v>156.35600000000002</v>
      </c>
      <c r="G232" s="445">
        <f>SUM(G186,G167,G46:G48,G206,G197,G60,G138,G102,G111,G129,G121,G86,G68,G94,G77,G103,G130,G69,G168,G112,G185,G176,G147)</f>
        <v>4486.3529999999992</v>
      </c>
      <c r="H232" s="446">
        <f>SUM(H186,H167,H46:H48,H206,H197,H60,H138,H102,H111,H129,H121,H86,H68,H94,H77,H103,H130,H69,H168,H112,H185,H176,H147)</f>
        <v>4.2110000000000003</v>
      </c>
    </row>
    <row r="233" spans="1:9" x14ac:dyDescent="0.25">
      <c r="E233" s="453"/>
      <c r="F233" s="453"/>
    </row>
  </sheetData>
  <mergeCells count="84">
    <mergeCell ref="B36:B37"/>
    <mergeCell ref="A36:A37"/>
    <mergeCell ref="A56:A57"/>
    <mergeCell ref="B56:B57"/>
    <mergeCell ref="B98:B99"/>
    <mergeCell ref="A64:A65"/>
    <mergeCell ref="B64:B65"/>
    <mergeCell ref="A73:A74"/>
    <mergeCell ref="B73:B74"/>
    <mergeCell ref="B68:B69"/>
    <mergeCell ref="A68:A69"/>
    <mergeCell ref="A82:A83"/>
    <mergeCell ref="B82:B83"/>
    <mergeCell ref="A7:H7"/>
    <mergeCell ref="A10:A12"/>
    <mergeCell ref="B10:B12"/>
    <mergeCell ref="C10:C12"/>
    <mergeCell ref="D10:D12"/>
    <mergeCell ref="E10:E12"/>
    <mergeCell ref="G10:G12"/>
    <mergeCell ref="F10:F12"/>
    <mergeCell ref="H10:H12"/>
    <mergeCell ref="A22:A23"/>
    <mergeCell ref="B22:B23"/>
    <mergeCell ref="A46:A48"/>
    <mergeCell ref="B46:B48"/>
    <mergeCell ref="C230:D230"/>
    <mergeCell ref="A158:A159"/>
    <mergeCell ref="C228:D228"/>
    <mergeCell ref="C229:D229"/>
    <mergeCell ref="B158:B159"/>
    <mergeCell ref="A165:A166"/>
    <mergeCell ref="B165:B166"/>
    <mergeCell ref="B185:B186"/>
    <mergeCell ref="A185:A186"/>
    <mergeCell ref="C220:D220"/>
    <mergeCell ref="C227:D227"/>
    <mergeCell ref="C221:D221"/>
    <mergeCell ref="C231:D231"/>
    <mergeCell ref="B80:B81"/>
    <mergeCell ref="A80:A81"/>
    <mergeCell ref="C232:D232"/>
    <mergeCell ref="A181:A182"/>
    <mergeCell ref="B181:B182"/>
    <mergeCell ref="A107:A108"/>
    <mergeCell ref="B107:B108"/>
    <mergeCell ref="A172:A173"/>
    <mergeCell ref="B172:B173"/>
    <mergeCell ref="A111:A112"/>
    <mergeCell ref="B111:B112"/>
    <mergeCell ref="A116:A117"/>
    <mergeCell ref="B116:B117"/>
    <mergeCell ref="A125:A126"/>
    <mergeCell ref="B125:B126"/>
    <mergeCell ref="C223:D223"/>
    <mergeCell ref="C224:D224"/>
    <mergeCell ref="C225:D225"/>
    <mergeCell ref="C226:D226"/>
    <mergeCell ref="C218:D218"/>
    <mergeCell ref="C219:D219"/>
    <mergeCell ref="A202:A203"/>
    <mergeCell ref="B202:B203"/>
    <mergeCell ref="C217:D217"/>
    <mergeCell ref="B191:B193"/>
    <mergeCell ref="A191:A194"/>
    <mergeCell ref="A134:A135"/>
    <mergeCell ref="B134:B135"/>
    <mergeCell ref="A138:A139"/>
    <mergeCell ref="B138:B139"/>
    <mergeCell ref="A167:A168"/>
    <mergeCell ref="B167:B168"/>
    <mergeCell ref="A143:A144"/>
    <mergeCell ref="B143:B144"/>
    <mergeCell ref="A151:A152"/>
    <mergeCell ref="B151:B152"/>
    <mergeCell ref="A129:A130"/>
    <mergeCell ref="B129:B130"/>
    <mergeCell ref="B120:B121"/>
    <mergeCell ref="A120:A121"/>
    <mergeCell ref="A90:A91"/>
    <mergeCell ref="B90:B91"/>
    <mergeCell ref="A98:A99"/>
    <mergeCell ref="A102:A103"/>
    <mergeCell ref="B102:B103"/>
  </mergeCells>
  <conditionalFormatting sqref="B50">
    <cfRule type="cellIs" dxfId="294" priority="429" operator="equal">
      <formula>0</formula>
    </cfRule>
  </conditionalFormatting>
  <conditionalFormatting sqref="B51:B52">
    <cfRule type="cellIs" dxfId="293" priority="428" operator="equal">
      <formula>0</formula>
    </cfRule>
  </conditionalFormatting>
  <conditionalFormatting sqref="E215 E211:E212 F81:F83 F90:F91 F98:F99 F107:F108 F116:F117 F125:F126 F134:F135 F180:F182 F184:F186 F176 F146:F147 F119:F121 F110:F112 F101:F103 F93:F94 F85:F86 F67:F69 F59:F60 F73:F74 F128:F130 F76:F77 F190:H197 F14:H16 G200:H209 E218:F218 F201:F209 F211:H217 F164:F168 E170 F137:F139 E18:H52 G54:H60 E54:F57 G62:H69 F62:F65 G71:H77 F71 G79:H86 F79 G88:H94 F88 G96:H103 F96 G105:H112 F105 G114:H121 F114 G123:H130 F123 G132:H137 F132 G141:H147 F141:F144 F149:H153 F155:F162 G155:H168 G170:H176 F170:F173 G178:H186 F178 G188:H189 F188 F199:H199 G139:H139 H138">
    <cfRule type="cellIs" dxfId="292" priority="427" stopIfTrue="1" operator="equal">
      <formula>0</formula>
    </cfRule>
  </conditionalFormatting>
  <conditionalFormatting sqref="E213">
    <cfRule type="cellIs" dxfId="291" priority="393" stopIfTrue="1" operator="equal">
      <formula>0</formula>
    </cfRule>
  </conditionalFormatting>
  <conditionalFormatting sqref="E214">
    <cfRule type="cellIs" dxfId="290" priority="385" stopIfTrue="1" operator="equal">
      <formula>0</formula>
    </cfRule>
  </conditionalFormatting>
  <conditionalFormatting sqref="E14:E16">
    <cfRule type="cellIs" dxfId="289" priority="322" stopIfTrue="1" operator="equal">
      <formula>0</formula>
    </cfRule>
  </conditionalFormatting>
  <conditionalFormatting sqref="F183 F174:F175 F145 F136 F127 F118 F109 F100 F92 F84 F66 F58 F163">
    <cfRule type="cellIs" dxfId="288" priority="286" stopIfTrue="1" operator="equal">
      <formula>0</formula>
    </cfRule>
  </conditionalFormatting>
  <conditionalFormatting sqref="F75">
    <cfRule type="cellIs" dxfId="287" priority="285" stopIfTrue="1" operator="equal">
      <formula>0</formula>
    </cfRule>
  </conditionalFormatting>
  <conditionalFormatting sqref="F72">
    <cfRule type="cellIs" dxfId="286" priority="284" stopIfTrue="1" operator="equal">
      <formula>0</formula>
    </cfRule>
  </conditionalFormatting>
  <conditionalFormatting sqref="F80">
    <cfRule type="cellIs" dxfId="285" priority="283" stopIfTrue="1" operator="equal">
      <formula>0</formula>
    </cfRule>
  </conditionalFormatting>
  <conditionalFormatting sqref="F89">
    <cfRule type="cellIs" dxfId="284" priority="282" stopIfTrue="1" operator="equal">
      <formula>0</formula>
    </cfRule>
  </conditionalFormatting>
  <conditionalFormatting sqref="F133">
    <cfRule type="cellIs" dxfId="283" priority="277" stopIfTrue="1" operator="equal">
      <formula>0</formula>
    </cfRule>
  </conditionalFormatting>
  <conditionalFormatting sqref="F97">
    <cfRule type="cellIs" dxfId="282" priority="281" stopIfTrue="1" operator="equal">
      <formula>0</formula>
    </cfRule>
  </conditionalFormatting>
  <conditionalFormatting sqref="F106">
    <cfRule type="cellIs" dxfId="281" priority="280" stopIfTrue="1" operator="equal">
      <formula>0</formula>
    </cfRule>
  </conditionalFormatting>
  <conditionalFormatting sqref="F115">
    <cfRule type="cellIs" dxfId="280" priority="279" stopIfTrue="1" operator="equal">
      <formula>0</formula>
    </cfRule>
  </conditionalFormatting>
  <conditionalFormatting sqref="F124">
    <cfRule type="cellIs" dxfId="279" priority="278" stopIfTrue="1" operator="equal">
      <formula>0</formula>
    </cfRule>
  </conditionalFormatting>
  <conditionalFormatting sqref="F179">
    <cfRule type="cellIs" dxfId="278" priority="273" stopIfTrue="1" operator="equal">
      <formula>0</formula>
    </cfRule>
  </conditionalFormatting>
  <conditionalFormatting sqref="F189">
    <cfRule type="cellIs" dxfId="277" priority="272" stopIfTrue="1" operator="equal">
      <formula>0</formula>
    </cfRule>
  </conditionalFormatting>
  <conditionalFormatting sqref="F200">
    <cfRule type="cellIs" dxfId="276" priority="271" stopIfTrue="1" operator="equal">
      <formula>0</formula>
    </cfRule>
  </conditionalFormatting>
  <conditionalFormatting sqref="E67:E69 E59:E60 E62 E71 E64:E65">
    <cfRule type="cellIs" dxfId="275" priority="269" stopIfTrue="1" operator="equal">
      <formula>0</formula>
    </cfRule>
  </conditionalFormatting>
  <conditionalFormatting sqref="E90:E91 E98:E99 E107:E108 E125:E126 E172:E173 E190:E197 E81:E83 E134:E135 E180:E182 E116:E117 E149:E153 E201:E209 E184:E186 E176 E137:E139 E128:E130 E119:E121 E110:E112 E101:E103 E93:E94 E85:E86 E164:E168 E88 E96 E105 E114 E123 E132 E155:E162 E178 E188 E199">
    <cfRule type="cellIs" dxfId="274" priority="268" stopIfTrue="1" operator="equal">
      <formula>0</formula>
    </cfRule>
  </conditionalFormatting>
  <conditionalFormatting sqref="E73:E74 E76:E77 E79">
    <cfRule type="cellIs" dxfId="273" priority="267" stopIfTrue="1" operator="equal">
      <formula>0</formula>
    </cfRule>
  </conditionalFormatting>
  <conditionalFormatting sqref="E141:E144">
    <cfRule type="cellIs" dxfId="272" priority="251" stopIfTrue="1" operator="equal">
      <formula>0</formula>
    </cfRule>
  </conditionalFormatting>
  <conditionalFormatting sqref="E171">
    <cfRule type="cellIs" dxfId="271" priority="256" stopIfTrue="1" operator="equal">
      <formula>0</formula>
    </cfRule>
  </conditionalFormatting>
  <conditionalFormatting sqref="E200">
    <cfRule type="cellIs" dxfId="270" priority="222" stopIfTrue="1" operator="equal">
      <formula>0</formula>
    </cfRule>
  </conditionalFormatting>
  <conditionalFormatting sqref="E174:E175">
    <cfRule type="cellIs" dxfId="269" priority="218" stopIfTrue="1" operator="equal">
      <formula>0</formula>
    </cfRule>
  </conditionalFormatting>
  <conditionalFormatting sqref="E183">
    <cfRule type="cellIs" dxfId="268" priority="220" stopIfTrue="1" operator="equal">
      <formula>0</formula>
    </cfRule>
  </conditionalFormatting>
  <conditionalFormatting sqref="E179">
    <cfRule type="cellIs" dxfId="267" priority="226" stopIfTrue="1" operator="equal">
      <formula>0</formula>
    </cfRule>
  </conditionalFormatting>
  <conditionalFormatting sqref="E189">
    <cfRule type="cellIs" dxfId="266" priority="224" stopIfTrue="1" operator="equal">
      <formula>0</formula>
    </cfRule>
  </conditionalFormatting>
  <conditionalFormatting sqref="E145:E147">
    <cfRule type="cellIs" dxfId="265" priority="214" stopIfTrue="1" operator="equal">
      <formula>0</formula>
    </cfRule>
  </conditionalFormatting>
  <conditionalFormatting sqref="E136">
    <cfRule type="cellIs" dxfId="264" priority="212" stopIfTrue="1" operator="equal">
      <formula>0</formula>
    </cfRule>
  </conditionalFormatting>
  <conditionalFormatting sqref="E127">
    <cfRule type="cellIs" dxfId="263" priority="210" stopIfTrue="1" operator="equal">
      <formula>0</formula>
    </cfRule>
  </conditionalFormatting>
  <conditionalFormatting sqref="E118">
    <cfRule type="cellIs" dxfId="262" priority="208" stopIfTrue="1" operator="equal">
      <formula>0</formula>
    </cfRule>
  </conditionalFormatting>
  <conditionalFormatting sqref="E109">
    <cfRule type="cellIs" dxfId="261" priority="206" stopIfTrue="1" operator="equal">
      <formula>0</formula>
    </cfRule>
  </conditionalFormatting>
  <conditionalFormatting sqref="E100">
    <cfRule type="cellIs" dxfId="260" priority="204" stopIfTrue="1" operator="equal">
      <formula>0</formula>
    </cfRule>
  </conditionalFormatting>
  <conditionalFormatting sqref="E92">
    <cfRule type="cellIs" dxfId="259" priority="202" stopIfTrue="1" operator="equal">
      <formula>0</formula>
    </cfRule>
  </conditionalFormatting>
  <conditionalFormatting sqref="E84">
    <cfRule type="cellIs" dxfId="258" priority="200" stopIfTrue="1" operator="equal">
      <formula>0</formula>
    </cfRule>
  </conditionalFormatting>
  <conditionalFormatting sqref="E75">
    <cfRule type="cellIs" dxfId="257" priority="198" stopIfTrue="1" operator="equal">
      <formula>0</formula>
    </cfRule>
  </conditionalFormatting>
  <conditionalFormatting sqref="E66">
    <cfRule type="cellIs" dxfId="256" priority="196" stopIfTrue="1" operator="equal">
      <formula>0</formula>
    </cfRule>
  </conditionalFormatting>
  <conditionalFormatting sqref="E58">
    <cfRule type="cellIs" dxfId="255" priority="194" stopIfTrue="1" operator="equal">
      <formula>0</formula>
    </cfRule>
  </conditionalFormatting>
  <conditionalFormatting sqref="E163">
    <cfRule type="cellIs" dxfId="254" priority="192" stopIfTrue="1" operator="equal">
      <formula>0</formula>
    </cfRule>
  </conditionalFormatting>
  <conditionalFormatting sqref="E222">
    <cfRule type="cellIs" dxfId="253" priority="168" stopIfTrue="1" operator="equal">
      <formula>0</formula>
    </cfRule>
  </conditionalFormatting>
  <conditionalFormatting sqref="F222">
    <cfRule type="cellIs" dxfId="252" priority="159" stopIfTrue="1" operator="equal">
      <formula>0</formula>
    </cfRule>
  </conditionalFormatting>
  <conditionalFormatting sqref="G218:H218">
    <cfRule type="cellIs" dxfId="251" priority="132" stopIfTrue="1" operator="equal">
      <formula>0</formula>
    </cfRule>
  </conditionalFormatting>
  <conditionalFormatting sqref="G222">
    <cfRule type="cellIs" dxfId="250" priority="131" stopIfTrue="1" operator="equal">
      <formula>0</formula>
    </cfRule>
  </conditionalFormatting>
  <conditionalFormatting sqref="H222">
    <cfRule type="cellIs" dxfId="249" priority="122" stopIfTrue="1" operator="equal">
      <formula>0</formula>
    </cfRule>
  </conditionalFormatting>
  <conditionalFormatting sqref="E217">
    <cfRule type="cellIs" dxfId="248" priority="113" stopIfTrue="1" operator="equal">
      <formula>0</formula>
    </cfRule>
  </conditionalFormatting>
  <conditionalFormatting sqref="E216">
    <cfRule type="cellIs" dxfId="247" priority="112" stopIfTrue="1" operator="equal">
      <formula>0</formula>
    </cfRule>
  </conditionalFormatting>
  <conditionalFormatting sqref="E210">
    <cfRule type="cellIs" dxfId="246" priority="111" stopIfTrue="1" operator="equal">
      <formula>0</formula>
    </cfRule>
  </conditionalFormatting>
  <conditionalFormatting sqref="F210">
    <cfRule type="cellIs" dxfId="245" priority="107" stopIfTrue="1" operator="equal">
      <formula>0</formula>
    </cfRule>
  </conditionalFormatting>
  <conditionalFormatting sqref="G210">
    <cfRule type="cellIs" dxfId="244" priority="106" stopIfTrue="1" operator="equal">
      <formula>0</formula>
    </cfRule>
  </conditionalFormatting>
  <conditionalFormatting sqref="H210">
    <cfRule type="cellIs" dxfId="243" priority="105" stopIfTrue="1" operator="equal">
      <formula>0</formula>
    </cfRule>
  </conditionalFormatting>
  <conditionalFormatting sqref="G223">
    <cfRule type="cellIs" dxfId="242" priority="88" stopIfTrue="1" operator="equal">
      <formula>0</formula>
    </cfRule>
  </conditionalFormatting>
  <conditionalFormatting sqref="H223">
    <cfRule type="cellIs" dxfId="241" priority="87" stopIfTrue="1" operator="equal">
      <formula>0</formula>
    </cfRule>
  </conditionalFormatting>
  <conditionalFormatting sqref="E230:E232">
    <cfRule type="cellIs" dxfId="240" priority="82" stopIfTrue="1" operator="equal">
      <formula>0</formula>
    </cfRule>
  </conditionalFormatting>
  <conditionalFormatting sqref="F230:F232">
    <cfRule type="cellIs" dxfId="239" priority="81" stopIfTrue="1" operator="equal">
      <formula>0</formula>
    </cfRule>
  </conditionalFormatting>
  <conditionalFormatting sqref="G230:G231">
    <cfRule type="cellIs" dxfId="238" priority="80" stopIfTrue="1" operator="equal">
      <formula>0</formula>
    </cfRule>
  </conditionalFormatting>
  <conditionalFormatting sqref="H230:H231">
    <cfRule type="cellIs" dxfId="237" priority="79" stopIfTrue="1" operator="equal">
      <formula>0</formula>
    </cfRule>
  </conditionalFormatting>
  <conditionalFormatting sqref="G232">
    <cfRule type="cellIs" dxfId="236" priority="78" stopIfTrue="1" operator="equal">
      <formula>0</formula>
    </cfRule>
  </conditionalFormatting>
  <conditionalFormatting sqref="H232">
    <cfRule type="cellIs" dxfId="235" priority="77" stopIfTrue="1" operator="equal">
      <formula>0</formula>
    </cfRule>
  </conditionalFormatting>
  <conditionalFormatting sqref="E17:H17">
    <cfRule type="cellIs" dxfId="234" priority="76" stopIfTrue="1" operator="equal">
      <formula>0</formula>
    </cfRule>
  </conditionalFormatting>
  <conditionalFormatting sqref="F53:H53">
    <cfRule type="cellIs" dxfId="233" priority="75" stopIfTrue="1" operator="equal">
      <formula>0</formula>
    </cfRule>
  </conditionalFormatting>
  <conditionalFormatting sqref="E53">
    <cfRule type="cellIs" dxfId="232" priority="74" stopIfTrue="1" operator="equal">
      <formula>0</formula>
    </cfRule>
  </conditionalFormatting>
  <conditionalFormatting sqref="F61:H61">
    <cfRule type="cellIs" dxfId="231" priority="73" stopIfTrue="1" operator="equal">
      <formula>0</formula>
    </cfRule>
  </conditionalFormatting>
  <conditionalFormatting sqref="E61">
    <cfRule type="cellIs" dxfId="230" priority="72" stopIfTrue="1" operator="equal">
      <formula>0</formula>
    </cfRule>
  </conditionalFormatting>
  <conditionalFormatting sqref="F70:H70">
    <cfRule type="cellIs" dxfId="229" priority="71" stopIfTrue="1" operator="equal">
      <formula>0</formula>
    </cfRule>
  </conditionalFormatting>
  <conditionalFormatting sqref="E70">
    <cfRule type="cellIs" dxfId="228" priority="70" stopIfTrue="1" operator="equal">
      <formula>0</formula>
    </cfRule>
  </conditionalFormatting>
  <conditionalFormatting sqref="F78:H78">
    <cfRule type="cellIs" dxfId="227" priority="69" stopIfTrue="1" operator="equal">
      <formula>0</formula>
    </cfRule>
  </conditionalFormatting>
  <conditionalFormatting sqref="E78">
    <cfRule type="cellIs" dxfId="226" priority="68" stopIfTrue="1" operator="equal">
      <formula>0</formula>
    </cfRule>
  </conditionalFormatting>
  <conditionalFormatting sqref="F87:H87">
    <cfRule type="cellIs" dxfId="225" priority="67" stopIfTrue="1" operator="equal">
      <formula>0</formula>
    </cfRule>
  </conditionalFormatting>
  <conditionalFormatting sqref="E87">
    <cfRule type="cellIs" dxfId="224" priority="66" stopIfTrue="1" operator="equal">
      <formula>0</formula>
    </cfRule>
  </conditionalFormatting>
  <conditionalFormatting sqref="F95:H95">
    <cfRule type="cellIs" dxfId="223" priority="65" stopIfTrue="1" operator="equal">
      <formula>0</formula>
    </cfRule>
  </conditionalFormatting>
  <conditionalFormatting sqref="E95">
    <cfRule type="cellIs" dxfId="222" priority="64" stopIfTrue="1" operator="equal">
      <formula>0</formula>
    </cfRule>
  </conditionalFormatting>
  <conditionalFormatting sqref="F104:H104">
    <cfRule type="cellIs" dxfId="221" priority="63" stopIfTrue="1" operator="equal">
      <formula>0</formula>
    </cfRule>
  </conditionalFormatting>
  <conditionalFormatting sqref="E104">
    <cfRule type="cellIs" dxfId="220" priority="62" stopIfTrue="1" operator="equal">
      <formula>0</formula>
    </cfRule>
  </conditionalFormatting>
  <conditionalFormatting sqref="F113:H113">
    <cfRule type="cellIs" dxfId="219" priority="61" stopIfTrue="1" operator="equal">
      <formula>0</formula>
    </cfRule>
  </conditionalFormatting>
  <conditionalFormatting sqref="E113">
    <cfRule type="cellIs" dxfId="218" priority="60" stopIfTrue="1" operator="equal">
      <formula>0</formula>
    </cfRule>
  </conditionalFormatting>
  <conditionalFormatting sqref="F122:H122">
    <cfRule type="cellIs" dxfId="217" priority="59" stopIfTrue="1" operator="equal">
      <formula>0</formula>
    </cfRule>
  </conditionalFormatting>
  <conditionalFormatting sqref="E122">
    <cfRule type="cellIs" dxfId="216" priority="58" stopIfTrue="1" operator="equal">
      <formula>0</formula>
    </cfRule>
  </conditionalFormatting>
  <conditionalFormatting sqref="F131:H131">
    <cfRule type="cellIs" dxfId="215" priority="57" stopIfTrue="1" operator="equal">
      <formula>0</formula>
    </cfRule>
  </conditionalFormatting>
  <conditionalFormatting sqref="E131">
    <cfRule type="cellIs" dxfId="214" priority="56" stopIfTrue="1" operator="equal">
      <formula>0</formula>
    </cfRule>
  </conditionalFormatting>
  <conditionalFormatting sqref="F140:H140">
    <cfRule type="cellIs" dxfId="213" priority="55" stopIfTrue="1" operator="equal">
      <formula>0</formula>
    </cfRule>
  </conditionalFormatting>
  <conditionalFormatting sqref="E140">
    <cfRule type="cellIs" dxfId="212" priority="54" stopIfTrue="1" operator="equal">
      <formula>0</formula>
    </cfRule>
  </conditionalFormatting>
  <conditionalFormatting sqref="F148:H148">
    <cfRule type="cellIs" dxfId="211" priority="53" stopIfTrue="1" operator="equal">
      <formula>0</formula>
    </cfRule>
  </conditionalFormatting>
  <conditionalFormatting sqref="E148">
    <cfRule type="cellIs" dxfId="210" priority="52" stopIfTrue="1" operator="equal">
      <formula>0</formula>
    </cfRule>
  </conditionalFormatting>
  <conditionalFormatting sqref="F154:H154">
    <cfRule type="cellIs" dxfId="209" priority="51" stopIfTrue="1" operator="equal">
      <formula>0</formula>
    </cfRule>
  </conditionalFormatting>
  <conditionalFormatting sqref="E154">
    <cfRule type="cellIs" dxfId="208" priority="50" stopIfTrue="1" operator="equal">
      <formula>0</formula>
    </cfRule>
  </conditionalFormatting>
  <conditionalFormatting sqref="F169:H169">
    <cfRule type="cellIs" dxfId="207" priority="49" stopIfTrue="1" operator="equal">
      <formula>0</formula>
    </cfRule>
  </conditionalFormatting>
  <conditionalFormatting sqref="E169">
    <cfRule type="cellIs" dxfId="206" priority="48" stopIfTrue="1" operator="equal">
      <formula>0</formula>
    </cfRule>
  </conditionalFormatting>
  <conditionalFormatting sqref="F177:H177">
    <cfRule type="cellIs" dxfId="205" priority="47" stopIfTrue="1" operator="equal">
      <formula>0</formula>
    </cfRule>
  </conditionalFormatting>
  <conditionalFormatting sqref="E177">
    <cfRule type="cellIs" dxfId="204" priority="46" stopIfTrue="1" operator="equal">
      <formula>0</formula>
    </cfRule>
  </conditionalFormatting>
  <conditionalFormatting sqref="F198:H198">
    <cfRule type="cellIs" dxfId="203" priority="43" stopIfTrue="1" operator="equal">
      <formula>0</formula>
    </cfRule>
  </conditionalFormatting>
  <conditionalFormatting sqref="E198">
    <cfRule type="cellIs" dxfId="202" priority="42" stopIfTrue="1" operator="equal">
      <formula>0</formula>
    </cfRule>
  </conditionalFormatting>
  <conditionalFormatting sqref="E219">
    <cfRule type="cellIs" dxfId="201" priority="40" stopIfTrue="1" operator="equal">
      <formula>0</formula>
    </cfRule>
  </conditionalFormatting>
  <conditionalFormatting sqref="F219">
    <cfRule type="cellIs" dxfId="200" priority="39" stopIfTrue="1" operator="equal">
      <formula>0</formula>
    </cfRule>
  </conditionalFormatting>
  <conditionalFormatting sqref="G219">
    <cfRule type="cellIs" dxfId="199" priority="38" stopIfTrue="1" operator="equal">
      <formula>0</formula>
    </cfRule>
  </conditionalFormatting>
  <conditionalFormatting sqref="H219">
    <cfRule type="cellIs" dxfId="198" priority="37" stopIfTrue="1" operator="equal">
      <formula>0</formula>
    </cfRule>
  </conditionalFormatting>
  <conditionalFormatting sqref="E224">
    <cfRule type="cellIs" dxfId="197" priority="36" stopIfTrue="1" operator="equal">
      <formula>0</formula>
    </cfRule>
  </conditionalFormatting>
  <conditionalFormatting sqref="F224">
    <cfRule type="cellIs" dxfId="196" priority="35" stopIfTrue="1" operator="equal">
      <formula>0</formula>
    </cfRule>
  </conditionalFormatting>
  <conditionalFormatting sqref="G224">
    <cfRule type="cellIs" dxfId="195" priority="34" stopIfTrue="1" operator="equal">
      <formula>0</formula>
    </cfRule>
  </conditionalFormatting>
  <conditionalFormatting sqref="H224">
    <cfRule type="cellIs" dxfId="194" priority="33" stopIfTrue="1" operator="equal">
      <formula>0</formula>
    </cfRule>
  </conditionalFormatting>
  <conditionalFormatting sqref="E225:E227 E229">
    <cfRule type="cellIs" dxfId="193" priority="32" stopIfTrue="1" operator="equal">
      <formula>0</formula>
    </cfRule>
  </conditionalFormatting>
  <conditionalFormatting sqref="F225:F227 F229">
    <cfRule type="cellIs" dxfId="192" priority="31" stopIfTrue="1" operator="equal">
      <formula>0</formula>
    </cfRule>
  </conditionalFormatting>
  <conditionalFormatting sqref="G225:G227 G229">
    <cfRule type="cellIs" dxfId="191" priority="30" stopIfTrue="1" operator="equal">
      <formula>0</formula>
    </cfRule>
  </conditionalFormatting>
  <conditionalFormatting sqref="H225:H227 H229">
    <cfRule type="cellIs" dxfId="190" priority="29" stopIfTrue="1" operator="equal">
      <formula>0</formula>
    </cfRule>
  </conditionalFormatting>
  <conditionalFormatting sqref="E220">
    <cfRule type="cellIs" dxfId="189" priority="28" stopIfTrue="1" operator="equal">
      <formula>0</formula>
    </cfRule>
  </conditionalFormatting>
  <conditionalFormatting sqref="F220">
    <cfRule type="cellIs" dxfId="188" priority="27" stopIfTrue="1" operator="equal">
      <formula>0</formula>
    </cfRule>
  </conditionalFormatting>
  <conditionalFormatting sqref="G220">
    <cfRule type="cellIs" dxfId="187" priority="26" stopIfTrue="1" operator="equal">
      <formula>0</formula>
    </cfRule>
  </conditionalFormatting>
  <conditionalFormatting sqref="H220">
    <cfRule type="cellIs" dxfId="186" priority="25" stopIfTrue="1" operator="equal">
      <formula>0</formula>
    </cfRule>
  </conditionalFormatting>
  <conditionalFormatting sqref="E223">
    <cfRule type="cellIs" dxfId="185" priority="24" stopIfTrue="1" operator="equal">
      <formula>0</formula>
    </cfRule>
  </conditionalFormatting>
  <conditionalFormatting sqref="F223">
    <cfRule type="cellIs" dxfId="184" priority="23" stopIfTrue="1" operator="equal">
      <formula>0</formula>
    </cfRule>
  </conditionalFormatting>
  <conditionalFormatting sqref="F187:H187">
    <cfRule type="cellIs" dxfId="183" priority="22" stopIfTrue="1" operator="equal">
      <formula>0</formula>
    </cfRule>
  </conditionalFormatting>
  <conditionalFormatting sqref="E187">
    <cfRule type="cellIs" dxfId="182" priority="21" stopIfTrue="1" operator="equal">
      <formula>0</formula>
    </cfRule>
  </conditionalFormatting>
  <conditionalFormatting sqref="E228">
    <cfRule type="cellIs" dxfId="181" priority="18" stopIfTrue="1" operator="equal">
      <formula>0</formula>
    </cfRule>
  </conditionalFormatting>
  <conditionalFormatting sqref="F228">
    <cfRule type="cellIs" dxfId="180" priority="17" stopIfTrue="1" operator="equal">
      <formula>0</formula>
    </cfRule>
  </conditionalFormatting>
  <conditionalFormatting sqref="G228">
    <cfRule type="cellIs" dxfId="179" priority="16" stopIfTrue="1" operator="equal">
      <formula>0</formula>
    </cfRule>
  </conditionalFormatting>
  <conditionalFormatting sqref="H228">
    <cfRule type="cellIs" dxfId="178" priority="15" stopIfTrue="1" operator="equal">
      <formula>0</formula>
    </cfRule>
  </conditionalFormatting>
  <conditionalFormatting sqref="E221">
    <cfRule type="cellIs" dxfId="177" priority="14" stopIfTrue="1" operator="equal">
      <formula>0</formula>
    </cfRule>
  </conditionalFormatting>
  <conditionalFormatting sqref="F221">
    <cfRule type="cellIs" dxfId="176" priority="13" stopIfTrue="1" operator="equal">
      <formula>0</formula>
    </cfRule>
  </conditionalFormatting>
  <conditionalFormatting sqref="G221">
    <cfRule type="cellIs" dxfId="175" priority="12" stopIfTrue="1" operator="equal">
      <formula>0</formula>
    </cfRule>
  </conditionalFormatting>
  <conditionalFormatting sqref="H221">
    <cfRule type="cellIs" dxfId="174" priority="11" stopIfTrue="1" operator="equal">
      <formula>0</formula>
    </cfRule>
  </conditionalFormatting>
  <conditionalFormatting sqref="E63">
    <cfRule type="cellIs" dxfId="173" priority="10" stopIfTrue="1" operator="equal">
      <formula>0</formula>
    </cfRule>
  </conditionalFormatting>
  <conditionalFormatting sqref="E72">
    <cfRule type="cellIs" dxfId="172" priority="9" stopIfTrue="1" operator="equal">
      <formula>0</formula>
    </cfRule>
  </conditionalFormatting>
  <conditionalFormatting sqref="E80">
    <cfRule type="cellIs" dxfId="171" priority="8" stopIfTrue="1" operator="equal">
      <formula>0</formula>
    </cfRule>
  </conditionalFormatting>
  <conditionalFormatting sqref="E89">
    <cfRule type="cellIs" dxfId="170" priority="7" stopIfTrue="1" operator="equal">
      <formula>0</formula>
    </cfRule>
  </conditionalFormatting>
  <conditionalFormatting sqref="E97">
    <cfRule type="cellIs" dxfId="169" priority="6" stopIfTrue="1" operator="equal">
      <formula>0</formula>
    </cfRule>
  </conditionalFormatting>
  <conditionalFormatting sqref="E106">
    <cfRule type="cellIs" dxfId="168" priority="5" stopIfTrue="1" operator="equal">
      <formula>0</formula>
    </cfRule>
  </conditionalFormatting>
  <conditionalFormatting sqref="E115">
    <cfRule type="cellIs" dxfId="167" priority="4" stopIfTrue="1" operator="equal">
      <formula>0</formula>
    </cfRule>
  </conditionalFormatting>
  <conditionalFormatting sqref="E124">
    <cfRule type="cellIs" dxfId="166" priority="3" stopIfTrue="1" operator="equal">
      <formula>0</formula>
    </cfRule>
  </conditionalFormatting>
  <conditionalFormatting sqref="E133">
    <cfRule type="cellIs" dxfId="165" priority="2" stopIfTrue="1" operator="equal">
      <formula>0</formula>
    </cfRule>
  </conditionalFormatting>
  <conditionalFormatting sqref="G138">
    <cfRule type="cellIs" dxfId="164" priority="1" stopIfTrue="1" operator="equal">
      <formula>0</formula>
    </cfRule>
  </conditionalFormatting>
  <pageMargins left="0.78740157480314965" right="0.39370078740157483" top="0.78740157480314965" bottom="0.39370078740157483" header="0.31496062992125984" footer="0.31496062992125984"/>
  <pageSetup paperSize="9" scale="75"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AC588-130A-4E81-931B-996DA3E7DCF4}">
  <sheetPr>
    <pageSetUpPr fitToPage="1"/>
  </sheetPr>
  <dimension ref="A1:J135"/>
  <sheetViews>
    <sheetView workbookViewId="0">
      <pane ySplit="12" topLeftCell="A34" activePane="bottomLeft" state="frozen"/>
      <selection pane="bottomLeft"/>
    </sheetView>
  </sheetViews>
  <sheetFormatPr defaultColWidth="9.36328125" defaultRowHeight="11.5" x14ac:dyDescent="0.25"/>
  <cols>
    <col min="1" max="1" width="5.90625" style="454" customWidth="1"/>
    <col min="2" max="2" width="60.6328125" style="455" customWidth="1"/>
    <col min="3" max="4" width="8.36328125" style="219" customWidth="1"/>
    <col min="5" max="5" width="11.81640625" style="456" customWidth="1"/>
    <col min="6" max="6" width="11.08984375" style="322" customWidth="1"/>
    <col min="7" max="7" width="10.6328125" style="455" customWidth="1"/>
    <col min="8" max="8" width="10.08984375" style="455" customWidth="1"/>
    <col min="9" max="9" width="10.1796875" style="455" customWidth="1"/>
    <col min="10" max="10" width="10.08984375" style="455" customWidth="1"/>
    <col min="11" max="16384" width="9.36328125" style="455"/>
  </cols>
  <sheetData>
    <row r="1" spans="1:10" x14ac:dyDescent="0.25">
      <c r="H1" s="456" t="s">
        <v>4</v>
      </c>
    </row>
    <row r="2" spans="1:10" x14ac:dyDescent="0.25">
      <c r="H2" s="456" t="s">
        <v>290</v>
      </c>
    </row>
    <row r="3" spans="1:10" s="458" customFormat="1" hidden="1" x14ac:dyDescent="0.25">
      <c r="A3" s="457"/>
      <c r="C3" s="459"/>
      <c r="D3" s="459"/>
      <c r="F3" s="324"/>
      <c r="H3" s="460" t="s">
        <v>291</v>
      </c>
    </row>
    <row r="4" spans="1:10" s="458" customFormat="1" hidden="1" x14ac:dyDescent="0.25">
      <c r="A4" s="457"/>
      <c r="C4" s="459"/>
      <c r="D4" s="459"/>
      <c r="F4" s="324"/>
      <c r="H4" s="460" t="s">
        <v>192</v>
      </c>
    </row>
    <row r="5" spans="1:10" x14ac:dyDescent="0.25">
      <c r="H5" s="456" t="s">
        <v>292</v>
      </c>
    </row>
    <row r="6" spans="1:10" x14ac:dyDescent="0.25">
      <c r="E6" s="461"/>
      <c r="F6" s="326"/>
    </row>
    <row r="7" spans="1:10" ht="3.75" customHeight="1" x14ac:dyDescent="0.25">
      <c r="E7" s="461"/>
      <c r="F7" s="326"/>
    </row>
    <row r="8" spans="1:10" ht="18" customHeight="1" x14ac:dyDescent="0.3">
      <c r="A8" s="611" t="s">
        <v>293</v>
      </c>
      <c r="B8" s="611"/>
      <c r="C8" s="611"/>
      <c r="D8" s="611"/>
      <c r="E8" s="611"/>
      <c r="F8" s="611"/>
      <c r="G8" s="611"/>
      <c r="H8" s="611"/>
      <c r="I8" s="611"/>
      <c r="J8" s="611"/>
    </row>
    <row r="9" spans="1:10" ht="12" thickBot="1" x14ac:dyDescent="0.3">
      <c r="H9" s="462"/>
      <c r="J9" s="462" t="s">
        <v>154</v>
      </c>
    </row>
    <row r="10" spans="1:10" s="463" customFormat="1" ht="42.65" customHeight="1" x14ac:dyDescent="0.25">
      <c r="A10" s="612" t="s">
        <v>6</v>
      </c>
      <c r="B10" s="615" t="s">
        <v>294</v>
      </c>
      <c r="C10" s="618" t="s">
        <v>295</v>
      </c>
      <c r="D10" s="621" t="s">
        <v>296</v>
      </c>
      <c r="E10" s="622" t="s">
        <v>297</v>
      </c>
      <c r="F10" s="623"/>
      <c r="G10" s="622" t="s">
        <v>298</v>
      </c>
      <c r="H10" s="623"/>
      <c r="I10" s="622" t="s">
        <v>299</v>
      </c>
      <c r="J10" s="623"/>
    </row>
    <row r="11" spans="1:10" s="464" customFormat="1" ht="12" customHeight="1" x14ac:dyDescent="0.25">
      <c r="A11" s="613"/>
      <c r="B11" s="616"/>
      <c r="C11" s="619"/>
      <c r="D11" s="616"/>
      <c r="E11" s="608" t="s">
        <v>0</v>
      </c>
      <c r="F11" s="606" t="s">
        <v>278</v>
      </c>
      <c r="G11" s="608" t="s">
        <v>0</v>
      </c>
      <c r="H11" s="606" t="s">
        <v>278</v>
      </c>
      <c r="I11" s="608" t="s">
        <v>0</v>
      </c>
      <c r="J11" s="606" t="s">
        <v>278</v>
      </c>
    </row>
    <row r="12" spans="1:10" ht="15" customHeight="1" thickBot="1" x14ac:dyDescent="0.3">
      <c r="A12" s="614"/>
      <c r="B12" s="617"/>
      <c r="C12" s="620"/>
      <c r="D12" s="617"/>
      <c r="E12" s="609"/>
      <c r="F12" s="610"/>
      <c r="G12" s="609"/>
      <c r="H12" s="610"/>
      <c r="I12" s="609"/>
      <c r="J12" s="610"/>
    </row>
    <row r="13" spans="1:10" ht="12" customHeight="1" x14ac:dyDescent="0.25">
      <c r="A13" s="465">
        <v>1</v>
      </c>
      <c r="B13" s="466">
        <v>2</v>
      </c>
      <c r="C13" s="467">
        <v>3</v>
      </c>
      <c r="D13" s="468">
        <v>4</v>
      </c>
      <c r="E13" s="469">
        <v>5</v>
      </c>
      <c r="F13" s="470">
        <v>6</v>
      </c>
      <c r="G13" s="469">
        <v>7</v>
      </c>
      <c r="H13" s="471">
        <v>8</v>
      </c>
      <c r="I13" s="469">
        <v>9</v>
      </c>
      <c r="J13" s="471">
        <v>10</v>
      </c>
    </row>
    <row r="14" spans="1:10" s="474" customFormat="1" ht="27" customHeight="1" x14ac:dyDescent="0.25">
      <c r="A14" s="349" t="s">
        <v>125</v>
      </c>
      <c r="B14" s="350" t="s">
        <v>21</v>
      </c>
      <c r="C14" s="472"/>
      <c r="D14" s="473">
        <f t="shared" ref="D14:J14" si="0">SUM(D16:D25,D27:D38,D40:D45)</f>
        <v>858.9849999999999</v>
      </c>
      <c r="E14" s="217">
        <f t="shared" si="0"/>
        <v>781.92499999999984</v>
      </c>
      <c r="F14" s="343">
        <f t="shared" si="0"/>
        <v>270.14099999999996</v>
      </c>
      <c r="G14" s="217">
        <f t="shared" si="0"/>
        <v>77.06</v>
      </c>
      <c r="H14" s="343">
        <f t="shared" si="0"/>
        <v>75.899999999999991</v>
      </c>
      <c r="I14" s="217">
        <f t="shared" si="0"/>
        <v>0</v>
      </c>
      <c r="J14" s="343">
        <f t="shared" si="0"/>
        <v>0</v>
      </c>
    </row>
    <row r="15" spans="1:10" ht="15.5" x14ac:dyDescent="0.25">
      <c r="A15" s="475"/>
      <c r="B15" s="476" t="s">
        <v>300</v>
      </c>
      <c r="C15" s="477"/>
      <c r="D15" s="473">
        <v>0</v>
      </c>
      <c r="E15" s="101">
        <v>0</v>
      </c>
      <c r="F15" s="253">
        <v>0</v>
      </c>
      <c r="G15" s="101">
        <v>0</v>
      </c>
      <c r="H15" s="253">
        <v>0</v>
      </c>
      <c r="I15" s="101">
        <v>0</v>
      </c>
      <c r="J15" s="253">
        <v>0</v>
      </c>
    </row>
    <row r="16" spans="1:10" s="480" customFormat="1" ht="27" customHeight="1" x14ac:dyDescent="0.25">
      <c r="A16" s="475" t="s">
        <v>22</v>
      </c>
      <c r="B16" s="478" t="s">
        <v>301</v>
      </c>
      <c r="C16" s="479" t="s">
        <v>23</v>
      </c>
      <c r="D16" s="473">
        <f t="shared" ref="D16:D91" si="1">E16+G16+I16</f>
        <v>0.3</v>
      </c>
      <c r="E16" s="101">
        <v>0.3</v>
      </c>
      <c r="F16" s="253">
        <v>0.29499999999999998</v>
      </c>
      <c r="G16" s="101">
        <v>0</v>
      </c>
      <c r="H16" s="253">
        <v>0</v>
      </c>
      <c r="I16" s="101">
        <v>0</v>
      </c>
      <c r="J16" s="253">
        <v>0</v>
      </c>
    </row>
    <row r="17" spans="1:10" ht="24" customHeight="1" x14ac:dyDescent="0.25">
      <c r="A17" s="475" t="s">
        <v>302</v>
      </c>
      <c r="B17" s="481" t="s">
        <v>303</v>
      </c>
      <c r="C17" s="479" t="s">
        <v>23</v>
      </c>
      <c r="D17" s="473">
        <f t="shared" si="1"/>
        <v>9.8000000000000007</v>
      </c>
      <c r="E17" s="101">
        <v>9.8000000000000007</v>
      </c>
      <c r="F17" s="253">
        <v>8.6999999999999993</v>
      </c>
      <c r="G17" s="101">
        <v>0</v>
      </c>
      <c r="H17" s="253">
        <v>0</v>
      </c>
      <c r="I17" s="101">
        <v>0</v>
      </c>
      <c r="J17" s="253">
        <v>0</v>
      </c>
    </row>
    <row r="18" spans="1:10" ht="30.75" customHeight="1" x14ac:dyDescent="0.25">
      <c r="A18" s="475" t="s">
        <v>304</v>
      </c>
      <c r="B18" s="481" t="s">
        <v>305</v>
      </c>
      <c r="C18" s="479" t="s">
        <v>23</v>
      </c>
      <c r="D18" s="473">
        <f>E18+G18+I18</f>
        <v>0.1</v>
      </c>
      <c r="E18" s="101">
        <v>0.1</v>
      </c>
      <c r="F18" s="253">
        <v>0.1</v>
      </c>
      <c r="G18" s="101">
        <v>0</v>
      </c>
      <c r="H18" s="253">
        <v>0</v>
      </c>
      <c r="I18" s="101">
        <v>0</v>
      </c>
      <c r="J18" s="253">
        <v>0</v>
      </c>
    </row>
    <row r="19" spans="1:10" ht="24.75" customHeight="1" x14ac:dyDescent="0.25">
      <c r="A19" s="475" t="s">
        <v>306</v>
      </c>
      <c r="B19" s="478" t="s">
        <v>307</v>
      </c>
      <c r="C19" s="479" t="s">
        <v>23</v>
      </c>
      <c r="D19" s="473">
        <f t="shared" si="1"/>
        <v>16.3</v>
      </c>
      <c r="E19" s="101">
        <v>16.3</v>
      </c>
      <c r="F19" s="253">
        <v>15.4</v>
      </c>
      <c r="G19" s="101">
        <v>0</v>
      </c>
      <c r="H19" s="253">
        <v>0</v>
      </c>
      <c r="I19" s="101">
        <v>0</v>
      </c>
      <c r="J19" s="253">
        <v>0</v>
      </c>
    </row>
    <row r="20" spans="1:10" ht="27" customHeight="1" x14ac:dyDescent="0.25">
      <c r="A20" s="475" t="s">
        <v>308</v>
      </c>
      <c r="B20" s="482" t="s">
        <v>309</v>
      </c>
      <c r="C20" s="479" t="s">
        <v>23</v>
      </c>
      <c r="D20" s="473">
        <f t="shared" si="1"/>
        <v>18.8</v>
      </c>
      <c r="E20" s="101">
        <v>18.8</v>
      </c>
      <c r="F20" s="253">
        <v>18.530999999999999</v>
      </c>
      <c r="G20" s="101">
        <v>0</v>
      </c>
      <c r="H20" s="253">
        <v>0</v>
      </c>
      <c r="I20" s="101">
        <v>0</v>
      </c>
      <c r="J20" s="253">
        <v>0</v>
      </c>
    </row>
    <row r="21" spans="1:10" ht="28.5" customHeight="1" x14ac:dyDescent="0.25">
      <c r="A21" s="475" t="s">
        <v>310</v>
      </c>
      <c r="B21" s="478" t="s">
        <v>311</v>
      </c>
      <c r="C21" s="479" t="s">
        <v>23</v>
      </c>
      <c r="D21" s="473">
        <f t="shared" si="1"/>
        <v>23.7</v>
      </c>
      <c r="E21" s="101">
        <v>23.7</v>
      </c>
      <c r="F21" s="253">
        <v>23.36</v>
      </c>
      <c r="G21" s="101">
        <v>0</v>
      </c>
      <c r="H21" s="253">
        <v>0</v>
      </c>
      <c r="I21" s="101">
        <v>0</v>
      </c>
      <c r="J21" s="253">
        <v>0</v>
      </c>
    </row>
    <row r="22" spans="1:10" ht="27.75" customHeight="1" x14ac:dyDescent="0.25">
      <c r="A22" s="475" t="s">
        <v>312</v>
      </c>
      <c r="B22" s="478" t="s">
        <v>313</v>
      </c>
      <c r="C22" s="479" t="s">
        <v>23</v>
      </c>
      <c r="D22" s="473">
        <f t="shared" si="1"/>
        <v>3.1</v>
      </c>
      <c r="E22" s="101">
        <v>3.1</v>
      </c>
      <c r="F22" s="253">
        <v>3.0550000000000002</v>
      </c>
      <c r="G22" s="101">
        <v>0</v>
      </c>
      <c r="H22" s="253">
        <v>0</v>
      </c>
      <c r="I22" s="101">
        <v>0</v>
      </c>
      <c r="J22" s="253">
        <v>0</v>
      </c>
    </row>
    <row r="23" spans="1:10" ht="26.25" customHeight="1" x14ac:dyDescent="0.25">
      <c r="A23" s="475" t="s">
        <v>314</v>
      </c>
      <c r="B23" s="478" t="s">
        <v>315</v>
      </c>
      <c r="C23" s="479" t="s">
        <v>23</v>
      </c>
      <c r="D23" s="473">
        <f t="shared" si="1"/>
        <v>12.9</v>
      </c>
      <c r="E23" s="101">
        <v>12.9</v>
      </c>
      <c r="F23" s="253">
        <v>12.715</v>
      </c>
      <c r="G23" s="101">
        <v>0</v>
      </c>
      <c r="H23" s="253">
        <v>0</v>
      </c>
      <c r="I23" s="101">
        <v>0</v>
      </c>
      <c r="J23" s="253">
        <v>0</v>
      </c>
    </row>
    <row r="24" spans="1:10" ht="26.25" customHeight="1" x14ac:dyDescent="0.25">
      <c r="A24" s="475" t="s">
        <v>316</v>
      </c>
      <c r="B24" s="478" t="s">
        <v>317</v>
      </c>
      <c r="C24" s="479" t="s">
        <v>23</v>
      </c>
      <c r="D24" s="473">
        <f t="shared" si="1"/>
        <v>14.1</v>
      </c>
      <c r="E24" s="101">
        <v>14.1</v>
      </c>
      <c r="F24" s="253">
        <v>12.4</v>
      </c>
      <c r="G24" s="101">
        <v>0</v>
      </c>
      <c r="H24" s="253">
        <v>0</v>
      </c>
      <c r="I24" s="101">
        <v>0</v>
      </c>
      <c r="J24" s="253">
        <v>0</v>
      </c>
    </row>
    <row r="25" spans="1:10" ht="27.75" customHeight="1" x14ac:dyDescent="0.25">
      <c r="A25" s="475" t="s">
        <v>318</v>
      </c>
      <c r="B25" s="478" t="s">
        <v>319</v>
      </c>
      <c r="C25" s="479" t="s">
        <v>23</v>
      </c>
      <c r="D25" s="473">
        <f t="shared" si="1"/>
        <v>31.6</v>
      </c>
      <c r="E25" s="101">
        <v>31.6</v>
      </c>
      <c r="F25" s="253">
        <v>15.3</v>
      </c>
      <c r="G25" s="101">
        <v>0</v>
      </c>
      <c r="H25" s="253">
        <v>0</v>
      </c>
      <c r="I25" s="101">
        <v>0</v>
      </c>
      <c r="J25" s="253">
        <v>0</v>
      </c>
    </row>
    <row r="26" spans="1:10" s="485" customFormat="1" ht="19.75" customHeight="1" x14ac:dyDescent="0.25">
      <c r="A26" s="483" t="s">
        <v>320</v>
      </c>
      <c r="B26" s="348" t="s">
        <v>321</v>
      </c>
      <c r="C26" s="392" t="s">
        <v>23</v>
      </c>
      <c r="D26" s="484">
        <f t="shared" si="1"/>
        <v>2</v>
      </c>
      <c r="E26" s="363">
        <v>2</v>
      </c>
      <c r="F26" s="364"/>
      <c r="G26" s="363"/>
      <c r="H26" s="364"/>
      <c r="I26" s="363"/>
      <c r="J26" s="364"/>
    </row>
    <row r="27" spans="1:10" ht="25.5" customHeight="1" x14ac:dyDescent="0.25">
      <c r="A27" s="475" t="s">
        <v>322</v>
      </c>
      <c r="B27" s="486" t="s">
        <v>323</v>
      </c>
      <c r="C27" s="479" t="s">
        <v>23</v>
      </c>
      <c r="D27" s="473">
        <f t="shared" si="1"/>
        <v>8.3000000000000007</v>
      </c>
      <c r="E27" s="101">
        <v>8.3000000000000007</v>
      </c>
      <c r="F27" s="253">
        <v>7.3</v>
      </c>
      <c r="G27" s="101">
        <v>0</v>
      </c>
      <c r="H27" s="253">
        <v>0</v>
      </c>
      <c r="I27" s="101">
        <v>0</v>
      </c>
      <c r="J27" s="253">
        <v>0</v>
      </c>
    </row>
    <row r="28" spans="1:10" ht="25.5" customHeight="1" x14ac:dyDescent="0.25">
      <c r="A28" s="475" t="s">
        <v>324</v>
      </c>
      <c r="B28" s="478" t="s">
        <v>325</v>
      </c>
      <c r="C28" s="479" t="s">
        <v>23</v>
      </c>
      <c r="D28" s="473">
        <f t="shared" si="1"/>
        <v>1.74</v>
      </c>
      <c r="E28" s="101">
        <v>1.74</v>
      </c>
      <c r="F28" s="253"/>
      <c r="G28" s="101"/>
      <c r="H28" s="253"/>
      <c r="I28" s="101"/>
      <c r="J28" s="253"/>
    </row>
    <row r="29" spans="1:10" ht="31.25" customHeight="1" x14ac:dyDescent="0.25">
      <c r="A29" s="475" t="s">
        <v>326</v>
      </c>
      <c r="B29" s="478" t="s">
        <v>327</v>
      </c>
      <c r="C29" s="479" t="s">
        <v>23</v>
      </c>
      <c r="D29" s="473">
        <f t="shared" si="1"/>
        <v>1.276</v>
      </c>
      <c r="E29" s="101">
        <v>1.276</v>
      </c>
      <c r="F29" s="253"/>
      <c r="G29" s="101"/>
      <c r="H29" s="253"/>
      <c r="I29" s="101"/>
      <c r="J29" s="253"/>
    </row>
    <row r="30" spans="1:10" ht="44.4" customHeight="1" x14ac:dyDescent="0.25">
      <c r="A30" s="475" t="s">
        <v>328</v>
      </c>
      <c r="B30" s="478" t="s">
        <v>329</v>
      </c>
      <c r="C30" s="479" t="s">
        <v>23</v>
      </c>
      <c r="D30" s="473">
        <f t="shared" si="1"/>
        <v>24.920999999999999</v>
      </c>
      <c r="E30" s="101">
        <v>24.920999999999999</v>
      </c>
      <c r="F30" s="253">
        <v>24.565000000000001</v>
      </c>
      <c r="G30" s="101"/>
      <c r="H30" s="253"/>
      <c r="I30" s="101"/>
      <c r="J30" s="253"/>
    </row>
    <row r="31" spans="1:10" ht="25.5" customHeight="1" x14ac:dyDescent="0.25">
      <c r="A31" s="475" t="s">
        <v>330</v>
      </c>
      <c r="B31" s="478" t="s">
        <v>331</v>
      </c>
      <c r="C31" s="479" t="s">
        <v>23</v>
      </c>
      <c r="D31" s="473">
        <f t="shared" si="1"/>
        <v>4.3499999999999996</v>
      </c>
      <c r="E31" s="101">
        <v>4.3499999999999996</v>
      </c>
      <c r="F31" s="253">
        <v>4.29</v>
      </c>
      <c r="G31" s="101">
        <v>0</v>
      </c>
      <c r="H31" s="253">
        <v>0</v>
      </c>
      <c r="I31" s="101">
        <v>0</v>
      </c>
      <c r="J31" s="253">
        <v>0</v>
      </c>
    </row>
    <row r="32" spans="1:10" ht="24.75" customHeight="1" x14ac:dyDescent="0.25">
      <c r="A32" s="475" t="s">
        <v>332</v>
      </c>
      <c r="B32" s="478" t="s">
        <v>333</v>
      </c>
      <c r="C32" s="479" t="s">
        <v>24</v>
      </c>
      <c r="D32" s="473">
        <f t="shared" si="1"/>
        <v>145.05000000000001</v>
      </c>
      <c r="E32" s="101">
        <v>145.05000000000001</v>
      </c>
      <c r="F32" s="253">
        <v>0</v>
      </c>
      <c r="G32" s="101">
        <v>0</v>
      </c>
      <c r="H32" s="253">
        <v>0</v>
      </c>
      <c r="I32" s="101">
        <v>0</v>
      </c>
      <c r="J32" s="253">
        <v>0</v>
      </c>
    </row>
    <row r="33" spans="1:10" ht="28.5" customHeight="1" x14ac:dyDescent="0.25">
      <c r="A33" s="475" t="s">
        <v>334</v>
      </c>
      <c r="B33" s="478" t="s">
        <v>335</v>
      </c>
      <c r="C33" s="479" t="s">
        <v>23</v>
      </c>
      <c r="D33" s="473">
        <f t="shared" si="1"/>
        <v>14.34</v>
      </c>
      <c r="E33" s="101">
        <v>14.34</v>
      </c>
      <c r="F33" s="253">
        <v>13.34</v>
      </c>
      <c r="G33" s="101">
        <v>0</v>
      </c>
      <c r="H33" s="253">
        <v>0</v>
      </c>
      <c r="I33" s="101">
        <v>0</v>
      </c>
      <c r="J33" s="253">
        <v>0</v>
      </c>
    </row>
    <row r="34" spans="1:10" ht="27" customHeight="1" x14ac:dyDescent="0.25">
      <c r="A34" s="475" t="s">
        <v>336</v>
      </c>
      <c r="B34" s="478" t="s">
        <v>337</v>
      </c>
      <c r="C34" s="479" t="s">
        <v>24</v>
      </c>
      <c r="D34" s="473">
        <f t="shared" si="1"/>
        <v>37.548000000000002</v>
      </c>
      <c r="E34" s="101">
        <v>37.548000000000002</v>
      </c>
      <c r="F34" s="253">
        <v>0</v>
      </c>
      <c r="G34" s="101">
        <v>0</v>
      </c>
      <c r="H34" s="253">
        <v>0</v>
      </c>
      <c r="I34" s="101">
        <v>0</v>
      </c>
      <c r="J34" s="253">
        <v>0</v>
      </c>
    </row>
    <row r="35" spans="1:10" ht="30" customHeight="1" x14ac:dyDescent="0.25">
      <c r="A35" s="475" t="s">
        <v>338</v>
      </c>
      <c r="B35" s="478" t="s">
        <v>339</v>
      </c>
      <c r="C35" s="479" t="s">
        <v>23</v>
      </c>
      <c r="D35" s="473">
        <f t="shared" si="1"/>
        <v>13.72</v>
      </c>
      <c r="E35" s="101">
        <v>13.72</v>
      </c>
      <c r="F35" s="253">
        <v>12.95</v>
      </c>
      <c r="G35" s="101">
        <v>0</v>
      </c>
      <c r="H35" s="253">
        <v>0</v>
      </c>
      <c r="I35" s="101">
        <v>0</v>
      </c>
      <c r="J35" s="253">
        <v>0</v>
      </c>
    </row>
    <row r="36" spans="1:10" ht="24.75" customHeight="1" x14ac:dyDescent="0.25">
      <c r="A36" s="475" t="s">
        <v>340</v>
      </c>
      <c r="B36" s="478" t="s">
        <v>341</v>
      </c>
      <c r="C36" s="479" t="s">
        <v>24</v>
      </c>
      <c r="D36" s="473">
        <f t="shared" si="1"/>
        <v>43.08</v>
      </c>
      <c r="E36" s="101">
        <v>43.08</v>
      </c>
      <c r="F36" s="253">
        <v>0</v>
      </c>
      <c r="G36" s="101">
        <v>0</v>
      </c>
      <c r="H36" s="253">
        <v>0</v>
      </c>
      <c r="I36" s="101">
        <v>0</v>
      </c>
      <c r="J36" s="253">
        <v>0</v>
      </c>
    </row>
    <row r="37" spans="1:10" ht="24.65" customHeight="1" x14ac:dyDescent="0.25">
      <c r="A37" s="475" t="s">
        <v>342</v>
      </c>
      <c r="B37" s="478" t="s">
        <v>343</v>
      </c>
      <c r="C37" s="479" t="s">
        <v>23</v>
      </c>
      <c r="D37" s="473">
        <f t="shared" si="1"/>
        <v>6.3</v>
      </c>
      <c r="E37" s="101">
        <v>6.3</v>
      </c>
      <c r="F37" s="253">
        <v>6.21</v>
      </c>
      <c r="G37" s="101">
        <v>0</v>
      </c>
      <c r="H37" s="253">
        <v>0</v>
      </c>
      <c r="I37" s="101">
        <v>0</v>
      </c>
      <c r="J37" s="253">
        <v>0</v>
      </c>
    </row>
    <row r="38" spans="1:10" ht="24.65" customHeight="1" x14ac:dyDescent="0.25">
      <c r="A38" s="475" t="s">
        <v>344</v>
      </c>
      <c r="B38" s="478" t="s">
        <v>345</v>
      </c>
      <c r="C38" s="479" t="s">
        <v>41</v>
      </c>
      <c r="D38" s="473">
        <f t="shared" si="1"/>
        <v>158.89999999999998</v>
      </c>
      <c r="E38" s="101">
        <f>72.1+E39</f>
        <v>158.89999999999998</v>
      </c>
      <c r="F38" s="253">
        <f>70.57+F39</f>
        <v>89.919999999999987</v>
      </c>
      <c r="G38" s="101">
        <v>0</v>
      </c>
      <c r="H38" s="253">
        <v>0</v>
      </c>
      <c r="I38" s="101">
        <v>0</v>
      </c>
      <c r="J38" s="253">
        <v>0</v>
      </c>
    </row>
    <row r="39" spans="1:10" s="485" customFormat="1" ht="27.65" customHeight="1" x14ac:dyDescent="0.25">
      <c r="A39" s="483" t="s">
        <v>346</v>
      </c>
      <c r="B39" s="348" t="s">
        <v>347</v>
      </c>
      <c r="C39" s="392" t="s">
        <v>41</v>
      </c>
      <c r="D39" s="484">
        <f t="shared" si="1"/>
        <v>86.8</v>
      </c>
      <c r="E39" s="363">
        <v>86.8</v>
      </c>
      <c r="F39" s="364">
        <v>19.350000000000001</v>
      </c>
      <c r="G39" s="363">
        <v>0</v>
      </c>
      <c r="H39" s="364">
        <v>0</v>
      </c>
      <c r="I39" s="363">
        <v>0</v>
      </c>
      <c r="J39" s="364">
        <v>0</v>
      </c>
    </row>
    <row r="40" spans="1:10" ht="28.5" customHeight="1" x14ac:dyDescent="0.25">
      <c r="A40" s="475" t="s">
        <v>348</v>
      </c>
      <c r="B40" s="478" t="s">
        <v>349</v>
      </c>
      <c r="C40" s="479" t="s">
        <v>23</v>
      </c>
      <c r="D40" s="473">
        <f t="shared" si="1"/>
        <v>0.09</v>
      </c>
      <c r="E40" s="101">
        <v>0.09</v>
      </c>
      <c r="F40" s="253">
        <v>0</v>
      </c>
      <c r="G40" s="101">
        <v>0</v>
      </c>
      <c r="H40" s="253">
        <v>0</v>
      </c>
      <c r="I40" s="101">
        <v>0</v>
      </c>
      <c r="J40" s="253">
        <v>0</v>
      </c>
    </row>
    <row r="41" spans="1:10" ht="24" customHeight="1" x14ac:dyDescent="0.25">
      <c r="A41" s="475" t="s">
        <v>350</v>
      </c>
      <c r="B41" s="478" t="s">
        <v>351</v>
      </c>
      <c r="C41" s="479" t="s">
        <v>24</v>
      </c>
      <c r="D41" s="473">
        <f t="shared" si="1"/>
        <v>2.21</v>
      </c>
      <c r="E41" s="101">
        <v>2.21</v>
      </c>
      <c r="F41" s="253">
        <v>0</v>
      </c>
      <c r="G41" s="101">
        <v>0</v>
      </c>
      <c r="H41" s="253">
        <v>0</v>
      </c>
      <c r="I41" s="101">
        <v>0</v>
      </c>
      <c r="J41" s="253">
        <v>0</v>
      </c>
    </row>
    <row r="42" spans="1:10" ht="47.4" customHeight="1" x14ac:dyDescent="0.25">
      <c r="A42" s="475" t="s">
        <v>352</v>
      </c>
      <c r="B42" s="478" t="s">
        <v>353</v>
      </c>
      <c r="C42" s="479" t="s">
        <v>34</v>
      </c>
      <c r="D42" s="473">
        <f t="shared" si="1"/>
        <v>150.69999999999999</v>
      </c>
      <c r="E42" s="101">
        <v>150.69999999999999</v>
      </c>
      <c r="F42" s="253">
        <v>0</v>
      </c>
      <c r="G42" s="101">
        <v>0</v>
      </c>
      <c r="H42" s="253">
        <v>0</v>
      </c>
      <c r="I42" s="101">
        <v>0</v>
      </c>
      <c r="J42" s="253">
        <v>0</v>
      </c>
    </row>
    <row r="43" spans="1:10" ht="43.75" customHeight="1" x14ac:dyDescent="0.25">
      <c r="A43" s="475" t="s">
        <v>354</v>
      </c>
      <c r="B43" s="478" t="s">
        <v>355</v>
      </c>
      <c r="C43" s="479" t="s">
        <v>34</v>
      </c>
      <c r="D43" s="473">
        <f t="shared" si="1"/>
        <v>36.799999999999997</v>
      </c>
      <c r="E43" s="101">
        <v>36.799999999999997</v>
      </c>
      <c r="F43" s="253">
        <v>0</v>
      </c>
      <c r="G43" s="101">
        <v>0</v>
      </c>
      <c r="H43" s="253">
        <v>0</v>
      </c>
      <c r="I43" s="101">
        <v>0</v>
      </c>
      <c r="J43" s="253">
        <v>0</v>
      </c>
    </row>
    <row r="44" spans="1:10" ht="25.25" customHeight="1" x14ac:dyDescent="0.25">
      <c r="A44" s="475" t="s">
        <v>356</v>
      </c>
      <c r="B44" s="478" t="s">
        <v>357</v>
      </c>
      <c r="C44" s="479" t="s">
        <v>34</v>
      </c>
      <c r="D44" s="473">
        <f>E44+G44+I44</f>
        <v>1.9</v>
      </c>
      <c r="E44" s="101">
        <v>1.9</v>
      </c>
      <c r="F44" s="253">
        <v>1.71</v>
      </c>
      <c r="G44" s="101">
        <v>0</v>
      </c>
      <c r="H44" s="253">
        <v>0</v>
      </c>
      <c r="I44" s="101">
        <v>0</v>
      </c>
      <c r="J44" s="253">
        <v>0</v>
      </c>
    </row>
    <row r="45" spans="1:10" ht="23.4" customHeight="1" x14ac:dyDescent="0.25">
      <c r="A45" s="475" t="s">
        <v>358</v>
      </c>
      <c r="B45" s="487" t="s">
        <v>359</v>
      </c>
      <c r="C45" s="479"/>
      <c r="D45" s="473">
        <f>E45+G45+I45</f>
        <v>77.06</v>
      </c>
      <c r="E45" s="217">
        <f t="shared" ref="E45:J45" si="2">SUM(E47:E49)</f>
        <v>0</v>
      </c>
      <c r="F45" s="343">
        <f t="shared" si="2"/>
        <v>0</v>
      </c>
      <c r="G45" s="101">
        <f t="shared" si="2"/>
        <v>77.06</v>
      </c>
      <c r="H45" s="253">
        <f t="shared" si="2"/>
        <v>75.899999999999991</v>
      </c>
      <c r="I45" s="217">
        <f t="shared" si="2"/>
        <v>0</v>
      </c>
      <c r="J45" s="343">
        <f t="shared" si="2"/>
        <v>0</v>
      </c>
    </row>
    <row r="46" spans="1:10" s="485" customFormat="1" ht="15" customHeight="1" x14ac:dyDescent="0.25">
      <c r="A46" s="488"/>
      <c r="B46" s="489" t="s">
        <v>300</v>
      </c>
      <c r="C46" s="392"/>
      <c r="D46" s="484"/>
      <c r="E46" s="363"/>
      <c r="F46" s="364"/>
      <c r="G46" s="363"/>
      <c r="H46" s="364"/>
      <c r="I46" s="363"/>
      <c r="J46" s="364"/>
    </row>
    <row r="47" spans="1:10" s="485" customFormat="1" ht="24" customHeight="1" x14ac:dyDescent="0.25">
      <c r="A47" s="483" t="s">
        <v>360</v>
      </c>
      <c r="B47" s="489" t="s">
        <v>361</v>
      </c>
      <c r="C47" s="392" t="s">
        <v>26</v>
      </c>
      <c r="D47" s="484">
        <f t="shared" si="1"/>
        <v>5</v>
      </c>
      <c r="E47" s="363">
        <v>0</v>
      </c>
      <c r="F47" s="364">
        <v>0</v>
      </c>
      <c r="G47" s="363">
        <v>5</v>
      </c>
      <c r="H47" s="364">
        <v>4.93</v>
      </c>
      <c r="I47" s="363">
        <v>0</v>
      </c>
      <c r="J47" s="364">
        <v>0</v>
      </c>
    </row>
    <row r="48" spans="1:10" s="485" customFormat="1" ht="31.75" customHeight="1" x14ac:dyDescent="0.25">
      <c r="A48" s="483" t="s">
        <v>362</v>
      </c>
      <c r="B48" s="489" t="s">
        <v>363</v>
      </c>
      <c r="C48" s="392" t="s">
        <v>26</v>
      </c>
      <c r="D48" s="484">
        <f t="shared" si="1"/>
        <v>52.43</v>
      </c>
      <c r="E48" s="363">
        <v>0</v>
      </c>
      <c r="F48" s="364">
        <v>0</v>
      </c>
      <c r="G48" s="363">
        <f>10.6+41.83</f>
        <v>52.43</v>
      </c>
      <c r="H48" s="364">
        <f>10.45+41.23</f>
        <v>51.679999999999993</v>
      </c>
      <c r="I48" s="363">
        <v>0</v>
      </c>
      <c r="J48" s="364">
        <v>0</v>
      </c>
    </row>
    <row r="49" spans="1:10" s="485" customFormat="1" ht="35.4" customHeight="1" x14ac:dyDescent="0.25">
      <c r="A49" s="483" t="s">
        <v>364</v>
      </c>
      <c r="B49" s="489" t="s">
        <v>365</v>
      </c>
      <c r="C49" s="392" t="s">
        <v>32</v>
      </c>
      <c r="D49" s="484">
        <f t="shared" si="1"/>
        <v>19.63</v>
      </c>
      <c r="E49" s="363">
        <v>0</v>
      </c>
      <c r="F49" s="364">
        <v>0</v>
      </c>
      <c r="G49" s="363">
        <v>19.63</v>
      </c>
      <c r="H49" s="364">
        <v>19.29</v>
      </c>
      <c r="I49" s="363">
        <v>0</v>
      </c>
      <c r="J49" s="364">
        <v>0</v>
      </c>
    </row>
    <row r="50" spans="1:10" s="474" customFormat="1" ht="30" customHeight="1" x14ac:dyDescent="0.25">
      <c r="A50" s="373" t="s">
        <v>126</v>
      </c>
      <c r="B50" s="339" t="s">
        <v>8</v>
      </c>
      <c r="C50" s="490"/>
      <c r="D50" s="473">
        <f>E50+G50+I50</f>
        <v>742.85599999999999</v>
      </c>
      <c r="E50" s="217">
        <f t="shared" ref="E50:J50" si="3">SUM(E52,E54,E55)</f>
        <v>22.335999999999999</v>
      </c>
      <c r="F50" s="343">
        <f t="shared" si="3"/>
        <v>0</v>
      </c>
      <c r="G50" s="217">
        <f t="shared" si="3"/>
        <v>720.52</v>
      </c>
      <c r="H50" s="343">
        <f t="shared" si="3"/>
        <v>687.49</v>
      </c>
      <c r="I50" s="217">
        <f t="shared" si="3"/>
        <v>0</v>
      </c>
      <c r="J50" s="343">
        <f t="shared" si="3"/>
        <v>0</v>
      </c>
    </row>
    <row r="51" spans="1:10" ht="12.75" customHeight="1" x14ac:dyDescent="0.25">
      <c r="A51" s="491"/>
      <c r="B51" s="478" t="s">
        <v>2</v>
      </c>
      <c r="C51" s="492"/>
      <c r="D51" s="473">
        <f t="shared" si="1"/>
        <v>0</v>
      </c>
      <c r="E51" s="101">
        <v>0</v>
      </c>
      <c r="F51" s="253">
        <v>0</v>
      </c>
      <c r="G51" s="101">
        <v>0</v>
      </c>
      <c r="H51" s="253">
        <v>0</v>
      </c>
      <c r="I51" s="101">
        <v>0</v>
      </c>
      <c r="J51" s="253">
        <v>0</v>
      </c>
    </row>
    <row r="52" spans="1:10" ht="23.4" customHeight="1" x14ac:dyDescent="0.25">
      <c r="A52" s="493" t="s">
        <v>127</v>
      </c>
      <c r="B52" s="478" t="s">
        <v>359</v>
      </c>
      <c r="C52" s="479" t="s">
        <v>26</v>
      </c>
      <c r="D52" s="473">
        <f>E52+G52+I52</f>
        <v>720.52</v>
      </c>
      <c r="E52" s="101"/>
      <c r="F52" s="253"/>
      <c r="G52" s="101">
        <v>720.52</v>
      </c>
      <c r="H52" s="253">
        <f>690.49-3</f>
        <v>687.49</v>
      </c>
      <c r="I52" s="101"/>
      <c r="J52" s="253"/>
    </row>
    <row r="53" spans="1:10" ht="12.75" hidden="1" customHeight="1" x14ac:dyDescent="0.25">
      <c r="A53" s="493" t="s">
        <v>366</v>
      </c>
      <c r="B53" s="348" t="s">
        <v>367</v>
      </c>
      <c r="C53" s="479" t="s">
        <v>26</v>
      </c>
      <c r="D53" s="473"/>
      <c r="E53" s="101"/>
      <c r="F53" s="253"/>
      <c r="G53" s="101"/>
      <c r="H53" s="253"/>
      <c r="I53" s="101"/>
      <c r="J53" s="253"/>
    </row>
    <row r="54" spans="1:10" ht="18.649999999999999" customHeight="1" x14ac:dyDescent="0.25">
      <c r="A54" s="475" t="s">
        <v>128</v>
      </c>
      <c r="B54" s="478" t="s">
        <v>368</v>
      </c>
      <c r="C54" s="479" t="s">
        <v>24</v>
      </c>
      <c r="D54" s="473">
        <f>E54+G54+I54</f>
        <v>22</v>
      </c>
      <c r="E54" s="101">
        <v>22</v>
      </c>
      <c r="F54" s="253">
        <v>0</v>
      </c>
      <c r="G54" s="101">
        <v>0</v>
      </c>
      <c r="H54" s="253">
        <v>0</v>
      </c>
      <c r="I54" s="101">
        <v>0</v>
      </c>
      <c r="J54" s="253">
        <v>0</v>
      </c>
    </row>
    <row r="55" spans="1:10" ht="18.649999999999999" customHeight="1" x14ac:dyDescent="0.25">
      <c r="A55" s="475" t="s">
        <v>129</v>
      </c>
      <c r="B55" s="478" t="s">
        <v>337</v>
      </c>
      <c r="C55" s="479" t="s">
        <v>24</v>
      </c>
      <c r="D55" s="473">
        <f t="shared" si="1"/>
        <v>0.33600000000000002</v>
      </c>
      <c r="E55" s="101">
        <v>0.33600000000000002</v>
      </c>
      <c r="F55" s="253">
        <v>0</v>
      </c>
      <c r="G55" s="101">
        <v>0</v>
      </c>
      <c r="H55" s="253">
        <v>0</v>
      </c>
      <c r="I55" s="101">
        <v>0</v>
      </c>
      <c r="J55" s="253">
        <v>0</v>
      </c>
    </row>
    <row r="56" spans="1:10" s="474" customFormat="1" ht="30" customHeight="1" x14ac:dyDescent="0.25">
      <c r="A56" s="373" t="s">
        <v>139</v>
      </c>
      <c r="B56" s="339" t="s">
        <v>156</v>
      </c>
      <c r="C56" s="490"/>
      <c r="D56" s="473">
        <f>E56+G56+I56</f>
        <v>1085.482</v>
      </c>
      <c r="E56" s="217">
        <f t="shared" ref="E56:J56" si="4">SUM(E58,E60,E61)</f>
        <v>58.671999999999997</v>
      </c>
      <c r="F56" s="343">
        <f t="shared" si="4"/>
        <v>0</v>
      </c>
      <c r="G56" s="217">
        <f t="shared" si="4"/>
        <v>1026.81</v>
      </c>
      <c r="H56" s="343">
        <f t="shared" si="4"/>
        <v>978.85</v>
      </c>
      <c r="I56" s="217">
        <f t="shared" si="4"/>
        <v>0</v>
      </c>
      <c r="J56" s="343">
        <f t="shared" si="4"/>
        <v>0</v>
      </c>
    </row>
    <row r="57" spans="1:10" ht="12.75" customHeight="1" x14ac:dyDescent="0.25">
      <c r="A57" s="491"/>
      <c r="B57" s="478" t="s">
        <v>2</v>
      </c>
      <c r="C57" s="492"/>
      <c r="D57" s="473">
        <f t="shared" si="1"/>
        <v>0</v>
      </c>
      <c r="E57" s="101">
        <v>0</v>
      </c>
      <c r="F57" s="253">
        <v>0</v>
      </c>
      <c r="G57" s="101">
        <v>0</v>
      </c>
      <c r="H57" s="253">
        <v>0</v>
      </c>
      <c r="I57" s="101">
        <v>0</v>
      </c>
      <c r="J57" s="253">
        <v>0</v>
      </c>
    </row>
    <row r="58" spans="1:10" ht="22.75" customHeight="1" x14ac:dyDescent="0.25">
      <c r="A58" s="493" t="s">
        <v>27</v>
      </c>
      <c r="B58" s="478" t="s">
        <v>359</v>
      </c>
      <c r="C58" s="479" t="s">
        <v>26</v>
      </c>
      <c r="D58" s="473">
        <f>E58+G58+I58</f>
        <v>1026.81</v>
      </c>
      <c r="E58" s="101"/>
      <c r="F58" s="253"/>
      <c r="G58" s="101">
        <v>1026.81</v>
      </c>
      <c r="H58" s="253">
        <f>980.13-0.04-2.3+1.06</f>
        <v>978.85</v>
      </c>
      <c r="I58" s="101"/>
      <c r="J58" s="253"/>
    </row>
    <row r="59" spans="1:10" ht="12.75" hidden="1" customHeight="1" x14ac:dyDescent="0.25">
      <c r="A59" s="493" t="s">
        <v>369</v>
      </c>
      <c r="B59" s="348" t="s">
        <v>367</v>
      </c>
      <c r="C59" s="479" t="s">
        <v>26</v>
      </c>
      <c r="D59" s="473"/>
      <c r="E59" s="101"/>
      <c r="F59" s="253"/>
      <c r="G59" s="101"/>
      <c r="H59" s="253"/>
      <c r="I59" s="101"/>
      <c r="J59" s="253"/>
    </row>
    <row r="60" spans="1:10" ht="16.75" customHeight="1" x14ac:dyDescent="0.25">
      <c r="A60" s="475" t="s">
        <v>50</v>
      </c>
      <c r="B60" s="478" t="s">
        <v>368</v>
      </c>
      <c r="C60" s="479" t="s">
        <v>24</v>
      </c>
      <c r="D60" s="473">
        <f t="shared" si="1"/>
        <v>58</v>
      </c>
      <c r="E60" s="101">
        <v>58</v>
      </c>
      <c r="F60" s="253">
        <v>0</v>
      </c>
      <c r="G60" s="101">
        <v>0</v>
      </c>
      <c r="H60" s="253">
        <v>0</v>
      </c>
      <c r="I60" s="101">
        <v>0</v>
      </c>
      <c r="J60" s="253">
        <v>0</v>
      </c>
    </row>
    <row r="61" spans="1:10" ht="16.75" customHeight="1" x14ac:dyDescent="0.25">
      <c r="A61" s="475" t="s">
        <v>51</v>
      </c>
      <c r="B61" s="478" t="s">
        <v>337</v>
      </c>
      <c r="C61" s="479" t="s">
        <v>24</v>
      </c>
      <c r="D61" s="473">
        <f t="shared" si="1"/>
        <v>0.67200000000000004</v>
      </c>
      <c r="E61" s="101">
        <v>0.67200000000000004</v>
      </c>
      <c r="F61" s="253">
        <v>0</v>
      </c>
      <c r="G61" s="101">
        <v>0</v>
      </c>
      <c r="H61" s="253">
        <v>0</v>
      </c>
      <c r="I61" s="101">
        <v>0</v>
      </c>
      <c r="J61" s="253">
        <v>0</v>
      </c>
    </row>
    <row r="62" spans="1:10" s="474" customFormat="1" ht="27" customHeight="1" x14ac:dyDescent="0.25">
      <c r="A62" s="373" t="s">
        <v>142</v>
      </c>
      <c r="B62" s="339" t="s">
        <v>157</v>
      </c>
      <c r="C62" s="490"/>
      <c r="D62" s="473">
        <f>E62+G62+I62</f>
        <v>1241.74</v>
      </c>
      <c r="E62" s="217">
        <f t="shared" ref="E62:J62" si="5">SUM(E64,E66,E67)</f>
        <v>86.14</v>
      </c>
      <c r="F62" s="343">
        <f t="shared" si="5"/>
        <v>0</v>
      </c>
      <c r="G62" s="217">
        <f t="shared" si="5"/>
        <v>1155.5999999999999</v>
      </c>
      <c r="H62" s="343">
        <f t="shared" si="5"/>
        <v>1098.5900000000001</v>
      </c>
      <c r="I62" s="217">
        <f t="shared" si="5"/>
        <v>0</v>
      </c>
      <c r="J62" s="343">
        <f t="shared" si="5"/>
        <v>0</v>
      </c>
    </row>
    <row r="63" spans="1:10" ht="12.75" customHeight="1" x14ac:dyDescent="0.25">
      <c r="A63" s="491"/>
      <c r="B63" s="478" t="s">
        <v>2</v>
      </c>
      <c r="C63" s="492"/>
      <c r="D63" s="473">
        <f t="shared" si="1"/>
        <v>0</v>
      </c>
      <c r="E63" s="101">
        <v>0</v>
      </c>
      <c r="F63" s="253">
        <v>0</v>
      </c>
      <c r="G63" s="101">
        <v>0</v>
      </c>
      <c r="H63" s="253">
        <v>0</v>
      </c>
      <c r="I63" s="101">
        <v>0</v>
      </c>
      <c r="J63" s="253">
        <v>0</v>
      </c>
    </row>
    <row r="64" spans="1:10" ht="23.4" customHeight="1" x14ac:dyDescent="0.25">
      <c r="A64" s="493" t="s">
        <v>28</v>
      </c>
      <c r="B64" s="478" t="s">
        <v>359</v>
      </c>
      <c r="C64" s="479" t="s">
        <v>26</v>
      </c>
      <c r="D64" s="473">
        <f>E64+G64+I64</f>
        <v>1155.5999999999999</v>
      </c>
      <c r="E64" s="101"/>
      <c r="F64" s="253"/>
      <c r="G64" s="101">
        <v>1155.5999999999999</v>
      </c>
      <c r="H64" s="253">
        <f>1101.94-3.35</f>
        <v>1098.5900000000001</v>
      </c>
      <c r="I64" s="101"/>
      <c r="J64" s="253"/>
    </row>
    <row r="65" spans="1:10" ht="12.75" hidden="1" customHeight="1" x14ac:dyDescent="0.25">
      <c r="A65" s="493" t="s">
        <v>370</v>
      </c>
      <c r="B65" s="348" t="s">
        <v>367</v>
      </c>
      <c r="C65" s="479" t="s">
        <v>26</v>
      </c>
      <c r="D65" s="473"/>
      <c r="E65" s="101"/>
      <c r="F65" s="253"/>
      <c r="G65" s="101"/>
      <c r="H65" s="253"/>
      <c r="I65" s="101"/>
      <c r="J65" s="253"/>
    </row>
    <row r="66" spans="1:10" ht="24" customHeight="1" x14ac:dyDescent="0.25">
      <c r="A66" s="475" t="s">
        <v>29</v>
      </c>
      <c r="B66" s="478" t="s">
        <v>368</v>
      </c>
      <c r="C66" s="479" t="s">
        <v>24</v>
      </c>
      <c r="D66" s="473">
        <f t="shared" si="1"/>
        <v>84.46</v>
      </c>
      <c r="E66" s="101">
        <v>84.46</v>
      </c>
      <c r="F66" s="253">
        <v>0</v>
      </c>
      <c r="G66" s="101">
        <v>0</v>
      </c>
      <c r="H66" s="253">
        <v>0</v>
      </c>
      <c r="I66" s="101">
        <v>0</v>
      </c>
      <c r="J66" s="253">
        <v>0</v>
      </c>
    </row>
    <row r="67" spans="1:10" ht="24" customHeight="1" x14ac:dyDescent="0.25">
      <c r="A67" s="475" t="s">
        <v>53</v>
      </c>
      <c r="B67" s="478" t="s">
        <v>337</v>
      </c>
      <c r="C67" s="479" t="s">
        <v>24</v>
      </c>
      <c r="D67" s="473">
        <f t="shared" si="1"/>
        <v>1.68</v>
      </c>
      <c r="E67" s="101">
        <v>1.68</v>
      </c>
      <c r="F67" s="253">
        <v>0</v>
      </c>
      <c r="G67" s="101">
        <v>0</v>
      </c>
      <c r="H67" s="253">
        <v>0</v>
      </c>
      <c r="I67" s="101">
        <v>0</v>
      </c>
      <c r="J67" s="253">
        <v>0</v>
      </c>
    </row>
    <row r="68" spans="1:10" s="474" customFormat="1" ht="27" customHeight="1" x14ac:dyDescent="0.25">
      <c r="A68" s="373" t="s">
        <v>141</v>
      </c>
      <c r="B68" s="339" t="s">
        <v>14</v>
      </c>
      <c r="C68" s="490"/>
      <c r="D68" s="473">
        <f>E68+G68+I68</f>
        <v>1486.3419999999999</v>
      </c>
      <c r="E68" s="217">
        <f>SUM(E70,E72,E73,E74)</f>
        <v>56.671999999999997</v>
      </c>
      <c r="F68" s="343">
        <f>SUM(F70,F72,F73)</f>
        <v>0</v>
      </c>
      <c r="G68" s="217">
        <f>SUM(G70,G72,G73,G74)</f>
        <v>1395.57</v>
      </c>
      <c r="H68" s="343">
        <f>SUM(H70,H72,H73,H74)</f>
        <v>1335.96</v>
      </c>
      <c r="I68" s="217">
        <f>SUM(I70,I72,I73,I74)</f>
        <v>34.1</v>
      </c>
      <c r="J68" s="343">
        <f>SUM(J70,J72,J73)</f>
        <v>0</v>
      </c>
    </row>
    <row r="69" spans="1:10" ht="12.75" customHeight="1" x14ac:dyDescent="0.25">
      <c r="A69" s="491"/>
      <c r="B69" s="478" t="s">
        <v>2</v>
      </c>
      <c r="C69" s="492"/>
      <c r="D69" s="473">
        <f t="shared" si="1"/>
        <v>0</v>
      </c>
      <c r="E69" s="101">
        <v>0</v>
      </c>
      <c r="F69" s="253">
        <v>0</v>
      </c>
      <c r="G69" s="101">
        <v>0</v>
      </c>
      <c r="H69" s="253">
        <v>0</v>
      </c>
      <c r="I69" s="101">
        <v>0</v>
      </c>
      <c r="J69" s="253">
        <v>0</v>
      </c>
    </row>
    <row r="70" spans="1:10" ht="23.4" customHeight="1" x14ac:dyDescent="0.25">
      <c r="A70" s="493" t="s">
        <v>30</v>
      </c>
      <c r="B70" s="478" t="s">
        <v>359</v>
      </c>
      <c r="C70" s="479" t="s">
        <v>26</v>
      </c>
      <c r="D70" s="473">
        <f>E70+G70+I70</f>
        <v>1395.57</v>
      </c>
      <c r="E70" s="101"/>
      <c r="F70" s="253"/>
      <c r="G70" s="101">
        <v>1395.57</v>
      </c>
      <c r="H70" s="253">
        <f>1339.46-3.5</f>
        <v>1335.96</v>
      </c>
      <c r="I70" s="101"/>
      <c r="J70" s="253"/>
    </row>
    <row r="71" spans="1:10" ht="12.75" hidden="1" customHeight="1" x14ac:dyDescent="0.25">
      <c r="A71" s="493" t="s">
        <v>371</v>
      </c>
      <c r="B71" s="348" t="s">
        <v>367</v>
      </c>
      <c r="C71" s="479" t="s">
        <v>26</v>
      </c>
      <c r="D71" s="473"/>
      <c r="E71" s="101"/>
      <c r="F71" s="253"/>
      <c r="G71" s="101"/>
      <c r="H71" s="253"/>
      <c r="I71" s="101"/>
      <c r="J71" s="253"/>
    </row>
    <row r="72" spans="1:10" ht="45.65" customHeight="1" x14ac:dyDescent="0.25">
      <c r="A72" s="493" t="s">
        <v>54</v>
      </c>
      <c r="B72" s="478" t="s">
        <v>372</v>
      </c>
      <c r="C72" s="479" t="s">
        <v>26</v>
      </c>
      <c r="D72" s="473">
        <f t="shared" si="1"/>
        <v>34.1</v>
      </c>
      <c r="E72" s="101"/>
      <c r="F72" s="253"/>
      <c r="G72" s="101"/>
      <c r="H72" s="253"/>
      <c r="I72" s="101">
        <v>34.1</v>
      </c>
      <c r="J72" s="253"/>
    </row>
    <row r="73" spans="1:10" ht="27" customHeight="1" x14ac:dyDescent="0.25">
      <c r="A73" s="475" t="s">
        <v>55</v>
      </c>
      <c r="B73" s="478" t="s">
        <v>368</v>
      </c>
      <c r="C73" s="479" t="s">
        <v>24</v>
      </c>
      <c r="D73" s="473">
        <f t="shared" si="1"/>
        <v>56</v>
      </c>
      <c r="E73" s="101">
        <v>56</v>
      </c>
      <c r="F73" s="253">
        <v>0</v>
      </c>
      <c r="G73" s="101">
        <v>0</v>
      </c>
      <c r="H73" s="253">
        <v>0</v>
      </c>
      <c r="I73" s="101">
        <v>0</v>
      </c>
      <c r="J73" s="253">
        <v>0</v>
      </c>
    </row>
    <row r="74" spans="1:10" ht="27" customHeight="1" x14ac:dyDescent="0.25">
      <c r="A74" s="475" t="s">
        <v>144</v>
      </c>
      <c r="B74" s="478" t="s">
        <v>337</v>
      </c>
      <c r="C74" s="479" t="s">
        <v>24</v>
      </c>
      <c r="D74" s="473">
        <f t="shared" si="1"/>
        <v>0.67200000000000004</v>
      </c>
      <c r="E74" s="101">
        <v>0.67200000000000004</v>
      </c>
      <c r="F74" s="253">
        <v>0</v>
      </c>
      <c r="G74" s="101">
        <v>0</v>
      </c>
      <c r="H74" s="253">
        <v>0</v>
      </c>
      <c r="I74" s="101">
        <v>0</v>
      </c>
      <c r="J74" s="253">
        <v>0</v>
      </c>
    </row>
    <row r="75" spans="1:10" s="474" customFormat="1" ht="27" customHeight="1" x14ac:dyDescent="0.25">
      <c r="A75" s="373" t="s">
        <v>140</v>
      </c>
      <c r="B75" s="339" t="s">
        <v>15</v>
      </c>
      <c r="C75" s="490"/>
      <c r="D75" s="473">
        <f t="shared" si="1"/>
        <v>720.13199999999995</v>
      </c>
      <c r="E75" s="217">
        <f t="shared" ref="E75:J75" si="6">SUM(E77,E79,E80)</f>
        <v>31.251999999999999</v>
      </c>
      <c r="F75" s="343">
        <f t="shared" si="6"/>
        <v>0</v>
      </c>
      <c r="G75" s="217">
        <f t="shared" si="6"/>
        <v>688.88</v>
      </c>
      <c r="H75" s="343">
        <f t="shared" si="6"/>
        <v>656.73</v>
      </c>
      <c r="I75" s="217">
        <f t="shared" si="6"/>
        <v>0</v>
      </c>
      <c r="J75" s="343">
        <f t="shared" si="6"/>
        <v>0</v>
      </c>
    </row>
    <row r="76" spans="1:10" ht="12.75" customHeight="1" x14ac:dyDescent="0.25">
      <c r="A76" s="491"/>
      <c r="B76" s="478" t="s">
        <v>2</v>
      </c>
      <c r="C76" s="492"/>
      <c r="D76" s="473">
        <f t="shared" si="1"/>
        <v>0</v>
      </c>
      <c r="E76" s="101">
        <v>0</v>
      </c>
      <c r="F76" s="253">
        <v>0</v>
      </c>
      <c r="G76" s="101">
        <v>0</v>
      </c>
      <c r="H76" s="253">
        <v>0</v>
      </c>
      <c r="I76" s="101">
        <v>0</v>
      </c>
      <c r="J76" s="253">
        <v>0</v>
      </c>
    </row>
    <row r="77" spans="1:10" ht="23.4" customHeight="1" x14ac:dyDescent="0.25">
      <c r="A77" s="493" t="s">
        <v>56</v>
      </c>
      <c r="B77" s="478" t="s">
        <v>359</v>
      </c>
      <c r="C77" s="479" t="s">
        <v>26</v>
      </c>
      <c r="D77" s="473">
        <f>E77+G77+I77</f>
        <v>688.88</v>
      </c>
      <c r="E77" s="101"/>
      <c r="F77" s="253"/>
      <c r="G77" s="101">
        <v>688.88</v>
      </c>
      <c r="H77" s="253">
        <f>657.73-1</f>
        <v>656.73</v>
      </c>
      <c r="I77" s="101"/>
      <c r="J77" s="253"/>
    </row>
    <row r="78" spans="1:10" ht="13.25" hidden="1" customHeight="1" x14ac:dyDescent="0.25">
      <c r="A78" s="493" t="s">
        <v>373</v>
      </c>
      <c r="B78" s="348" t="s">
        <v>367</v>
      </c>
      <c r="C78" s="479" t="s">
        <v>26</v>
      </c>
      <c r="D78" s="473"/>
      <c r="E78" s="101"/>
      <c r="F78" s="253"/>
      <c r="G78" s="101"/>
      <c r="H78" s="253"/>
      <c r="I78" s="101"/>
      <c r="J78" s="253"/>
    </row>
    <row r="79" spans="1:10" ht="27" customHeight="1" x14ac:dyDescent="0.25">
      <c r="A79" s="475" t="s">
        <v>57</v>
      </c>
      <c r="B79" s="478" t="s">
        <v>368</v>
      </c>
      <c r="C79" s="479" t="s">
        <v>24</v>
      </c>
      <c r="D79" s="473">
        <f t="shared" si="1"/>
        <v>31</v>
      </c>
      <c r="E79" s="101">
        <v>31</v>
      </c>
      <c r="F79" s="253">
        <v>0</v>
      </c>
      <c r="G79" s="101">
        <v>0</v>
      </c>
      <c r="H79" s="253">
        <v>0</v>
      </c>
      <c r="I79" s="101">
        <v>0</v>
      </c>
      <c r="J79" s="253">
        <v>0</v>
      </c>
    </row>
    <row r="80" spans="1:10" ht="27" customHeight="1" x14ac:dyDescent="0.25">
      <c r="A80" s="475" t="s">
        <v>58</v>
      </c>
      <c r="B80" s="478" t="s">
        <v>337</v>
      </c>
      <c r="C80" s="479" t="s">
        <v>24</v>
      </c>
      <c r="D80" s="473">
        <f t="shared" si="1"/>
        <v>0.252</v>
      </c>
      <c r="E80" s="101">
        <v>0.252</v>
      </c>
      <c r="F80" s="253">
        <v>0</v>
      </c>
      <c r="G80" s="101">
        <v>0</v>
      </c>
      <c r="H80" s="253">
        <v>0</v>
      </c>
      <c r="I80" s="101">
        <v>0</v>
      </c>
      <c r="J80" s="253">
        <v>0</v>
      </c>
    </row>
    <row r="81" spans="1:10" s="474" customFormat="1" ht="26.25" customHeight="1" x14ac:dyDescent="0.25">
      <c r="A81" s="373" t="s">
        <v>99</v>
      </c>
      <c r="B81" s="339" t="s">
        <v>9</v>
      </c>
      <c r="C81" s="490"/>
      <c r="D81" s="473">
        <f t="shared" si="1"/>
        <v>468.58800000000002</v>
      </c>
      <c r="E81" s="217">
        <f t="shared" ref="E81:J81" si="7">SUM(E83:E85)</f>
        <v>16.167999999999999</v>
      </c>
      <c r="F81" s="343">
        <f t="shared" si="7"/>
        <v>0</v>
      </c>
      <c r="G81" s="217">
        <f t="shared" si="7"/>
        <v>452.42</v>
      </c>
      <c r="H81" s="343">
        <f t="shared" si="7"/>
        <v>433.67</v>
      </c>
      <c r="I81" s="217">
        <f t="shared" si="7"/>
        <v>0</v>
      </c>
      <c r="J81" s="343">
        <f t="shared" si="7"/>
        <v>0</v>
      </c>
    </row>
    <row r="82" spans="1:10" ht="12.75" customHeight="1" x14ac:dyDescent="0.25">
      <c r="A82" s="491"/>
      <c r="B82" s="478" t="s">
        <v>2</v>
      </c>
      <c r="C82" s="492"/>
      <c r="D82" s="473">
        <f t="shared" si="1"/>
        <v>0</v>
      </c>
      <c r="E82" s="101">
        <v>0</v>
      </c>
      <c r="F82" s="253">
        <v>0</v>
      </c>
      <c r="G82" s="101">
        <v>0</v>
      </c>
      <c r="H82" s="253">
        <v>0</v>
      </c>
      <c r="I82" s="101">
        <v>0</v>
      </c>
      <c r="J82" s="253">
        <v>0</v>
      </c>
    </row>
    <row r="83" spans="1:10" ht="23.4" customHeight="1" x14ac:dyDescent="0.25">
      <c r="A83" s="475" t="s">
        <v>60</v>
      </c>
      <c r="B83" s="478" t="s">
        <v>359</v>
      </c>
      <c r="C83" s="479" t="s">
        <v>26</v>
      </c>
      <c r="D83" s="473">
        <f>E83+G83+I83</f>
        <v>452.42</v>
      </c>
      <c r="E83" s="101"/>
      <c r="F83" s="253"/>
      <c r="G83" s="101">
        <v>452.42</v>
      </c>
      <c r="H83" s="253">
        <f>436.67-3</f>
        <v>433.67</v>
      </c>
      <c r="I83" s="101"/>
      <c r="J83" s="253"/>
    </row>
    <row r="84" spans="1:10" ht="25.5" customHeight="1" x14ac:dyDescent="0.25">
      <c r="A84" s="475" t="s">
        <v>61</v>
      </c>
      <c r="B84" s="478" t="s">
        <v>368</v>
      </c>
      <c r="C84" s="479" t="s">
        <v>24</v>
      </c>
      <c r="D84" s="473">
        <f t="shared" si="1"/>
        <v>16</v>
      </c>
      <c r="E84" s="101">
        <v>16</v>
      </c>
      <c r="F84" s="253">
        <v>0</v>
      </c>
      <c r="G84" s="101">
        <v>0</v>
      </c>
      <c r="H84" s="253">
        <v>0</v>
      </c>
      <c r="I84" s="101">
        <v>0</v>
      </c>
      <c r="J84" s="253">
        <v>0</v>
      </c>
    </row>
    <row r="85" spans="1:10" ht="25.5" customHeight="1" x14ac:dyDescent="0.25">
      <c r="A85" s="475" t="s">
        <v>62</v>
      </c>
      <c r="B85" s="478" t="s">
        <v>337</v>
      </c>
      <c r="C85" s="479" t="s">
        <v>24</v>
      </c>
      <c r="D85" s="473">
        <f t="shared" si="1"/>
        <v>0.16800000000000001</v>
      </c>
      <c r="E85" s="101">
        <v>0.16800000000000001</v>
      </c>
      <c r="F85" s="253">
        <v>0</v>
      </c>
      <c r="G85" s="101">
        <v>0</v>
      </c>
      <c r="H85" s="253">
        <v>0</v>
      </c>
      <c r="I85" s="101">
        <v>0</v>
      </c>
      <c r="J85" s="253">
        <v>0</v>
      </c>
    </row>
    <row r="86" spans="1:10" s="474" customFormat="1" ht="27.75" customHeight="1" x14ac:dyDescent="0.25">
      <c r="A86" s="373" t="s">
        <v>100</v>
      </c>
      <c r="B86" s="339" t="s">
        <v>10</v>
      </c>
      <c r="C86" s="490"/>
      <c r="D86" s="473">
        <f t="shared" si="1"/>
        <v>220.708</v>
      </c>
      <c r="E86" s="217">
        <f t="shared" ref="E86:J86" si="8">SUM(E88:E90)</f>
        <v>9.1679999999999993</v>
      </c>
      <c r="F86" s="343">
        <f t="shared" si="8"/>
        <v>0</v>
      </c>
      <c r="G86" s="217">
        <f t="shared" si="8"/>
        <v>211.54</v>
      </c>
      <c r="H86" s="343">
        <f t="shared" si="8"/>
        <v>203.98000000000002</v>
      </c>
      <c r="I86" s="217">
        <f t="shared" si="8"/>
        <v>0</v>
      </c>
      <c r="J86" s="343">
        <f t="shared" si="8"/>
        <v>0</v>
      </c>
    </row>
    <row r="87" spans="1:10" ht="12.75" customHeight="1" x14ac:dyDescent="0.25">
      <c r="A87" s="491"/>
      <c r="B87" s="478" t="s">
        <v>2</v>
      </c>
      <c r="C87" s="492"/>
      <c r="D87" s="473">
        <f t="shared" si="1"/>
        <v>0</v>
      </c>
      <c r="E87" s="101">
        <v>0</v>
      </c>
      <c r="F87" s="253">
        <v>0</v>
      </c>
      <c r="G87" s="101">
        <v>0</v>
      </c>
      <c r="H87" s="253">
        <v>0</v>
      </c>
      <c r="I87" s="101">
        <v>0</v>
      </c>
      <c r="J87" s="253">
        <v>0</v>
      </c>
    </row>
    <row r="88" spans="1:10" ht="23.4" customHeight="1" x14ac:dyDescent="0.25">
      <c r="A88" s="475" t="s">
        <v>63</v>
      </c>
      <c r="B88" s="478" t="s">
        <v>359</v>
      </c>
      <c r="C88" s="479" t="s">
        <v>26</v>
      </c>
      <c r="D88" s="473">
        <f>E88+G88+I88</f>
        <v>211.54</v>
      </c>
      <c r="E88" s="101"/>
      <c r="F88" s="253"/>
      <c r="G88" s="101">
        <v>211.54</v>
      </c>
      <c r="H88" s="253">
        <f>205.18-1.2</f>
        <v>203.98000000000002</v>
      </c>
      <c r="I88" s="101"/>
      <c r="J88" s="253"/>
    </row>
    <row r="89" spans="1:10" ht="26.25" customHeight="1" x14ac:dyDescent="0.25">
      <c r="A89" s="475" t="s">
        <v>64</v>
      </c>
      <c r="B89" s="478" t="s">
        <v>368</v>
      </c>
      <c r="C89" s="479" t="s">
        <v>24</v>
      </c>
      <c r="D89" s="473">
        <f t="shared" si="1"/>
        <v>9</v>
      </c>
      <c r="E89" s="101">
        <v>9</v>
      </c>
      <c r="F89" s="253">
        <v>0</v>
      </c>
      <c r="G89" s="101">
        <v>0</v>
      </c>
      <c r="H89" s="253">
        <v>0</v>
      </c>
      <c r="I89" s="101">
        <v>0</v>
      </c>
      <c r="J89" s="253">
        <v>0</v>
      </c>
    </row>
    <row r="90" spans="1:10" ht="26.25" customHeight="1" x14ac:dyDescent="0.25">
      <c r="A90" s="475" t="s">
        <v>146</v>
      </c>
      <c r="B90" s="478" t="s">
        <v>337</v>
      </c>
      <c r="C90" s="479" t="s">
        <v>24</v>
      </c>
      <c r="D90" s="473">
        <f t="shared" si="1"/>
        <v>0.16800000000000001</v>
      </c>
      <c r="E90" s="101">
        <v>0.16800000000000001</v>
      </c>
      <c r="F90" s="253">
        <v>0</v>
      </c>
      <c r="G90" s="101">
        <v>0</v>
      </c>
      <c r="H90" s="253">
        <v>0</v>
      </c>
      <c r="I90" s="101">
        <v>0</v>
      </c>
      <c r="J90" s="253">
        <v>0</v>
      </c>
    </row>
    <row r="91" spans="1:10" s="474" customFormat="1" ht="27" customHeight="1" x14ac:dyDescent="0.25">
      <c r="A91" s="373" t="s">
        <v>162</v>
      </c>
      <c r="B91" s="339" t="s">
        <v>11</v>
      </c>
      <c r="C91" s="490"/>
      <c r="D91" s="473">
        <f t="shared" si="1"/>
        <v>381.928</v>
      </c>
      <c r="E91" s="217">
        <f t="shared" ref="E91:J91" si="9">SUM(E93:E95)</f>
        <v>13.167999999999999</v>
      </c>
      <c r="F91" s="343">
        <f t="shared" si="9"/>
        <v>0</v>
      </c>
      <c r="G91" s="217">
        <f t="shared" si="9"/>
        <v>368.76</v>
      </c>
      <c r="H91" s="343">
        <f t="shared" si="9"/>
        <v>354.84</v>
      </c>
      <c r="I91" s="217">
        <f t="shared" si="9"/>
        <v>0</v>
      </c>
      <c r="J91" s="343">
        <f t="shared" si="9"/>
        <v>0</v>
      </c>
    </row>
    <row r="92" spans="1:10" ht="12.75" customHeight="1" x14ac:dyDescent="0.25">
      <c r="A92" s="491"/>
      <c r="B92" s="478" t="s">
        <v>2</v>
      </c>
      <c r="C92" s="492"/>
      <c r="D92" s="473">
        <f t="shared" ref="D92:D121" si="10">E92+G92+I92</f>
        <v>0</v>
      </c>
      <c r="E92" s="101">
        <v>0</v>
      </c>
      <c r="F92" s="253">
        <v>0</v>
      </c>
      <c r="G92" s="101">
        <v>0</v>
      </c>
      <c r="H92" s="253">
        <v>0</v>
      </c>
      <c r="I92" s="101">
        <v>0</v>
      </c>
      <c r="J92" s="253">
        <v>0</v>
      </c>
    </row>
    <row r="93" spans="1:10" ht="23.4" customHeight="1" x14ac:dyDescent="0.25">
      <c r="A93" s="475" t="s">
        <v>65</v>
      </c>
      <c r="B93" s="478" t="s">
        <v>359</v>
      </c>
      <c r="C93" s="479" t="s">
        <v>26</v>
      </c>
      <c r="D93" s="473">
        <f>E93+G93+I93</f>
        <v>368.76</v>
      </c>
      <c r="E93" s="101"/>
      <c r="F93" s="253"/>
      <c r="G93" s="101">
        <v>368.76</v>
      </c>
      <c r="H93" s="253">
        <f>356.82-1.98</f>
        <v>354.84</v>
      </c>
      <c r="I93" s="101"/>
      <c r="J93" s="253"/>
    </row>
    <row r="94" spans="1:10" ht="26.25" customHeight="1" x14ac:dyDescent="0.25">
      <c r="A94" s="475" t="s">
        <v>66</v>
      </c>
      <c r="B94" s="478" t="s">
        <v>368</v>
      </c>
      <c r="C94" s="479" t="s">
        <v>24</v>
      </c>
      <c r="D94" s="473">
        <f t="shared" si="10"/>
        <v>13</v>
      </c>
      <c r="E94" s="101">
        <v>13</v>
      </c>
      <c r="F94" s="253">
        <v>0</v>
      </c>
      <c r="G94" s="101">
        <v>0</v>
      </c>
      <c r="H94" s="253">
        <v>0</v>
      </c>
      <c r="I94" s="101">
        <v>0</v>
      </c>
      <c r="J94" s="253">
        <v>0</v>
      </c>
    </row>
    <row r="95" spans="1:10" ht="26.25" customHeight="1" x14ac:dyDescent="0.25">
      <c r="A95" s="475" t="s">
        <v>147</v>
      </c>
      <c r="B95" s="478" t="s">
        <v>337</v>
      </c>
      <c r="C95" s="479" t="s">
        <v>24</v>
      </c>
      <c r="D95" s="473">
        <f t="shared" si="10"/>
        <v>0.16800000000000001</v>
      </c>
      <c r="E95" s="101">
        <v>0.16800000000000001</v>
      </c>
      <c r="F95" s="253">
        <v>0</v>
      </c>
      <c r="G95" s="101">
        <v>0</v>
      </c>
      <c r="H95" s="253">
        <v>0</v>
      </c>
      <c r="I95" s="101">
        <v>0</v>
      </c>
      <c r="J95" s="253">
        <v>0</v>
      </c>
    </row>
    <row r="96" spans="1:10" s="474" customFormat="1" ht="26.25" customHeight="1" x14ac:dyDescent="0.25">
      <c r="A96" s="373" t="s">
        <v>101</v>
      </c>
      <c r="B96" s="339" t="s">
        <v>12</v>
      </c>
      <c r="C96" s="490"/>
      <c r="D96" s="473">
        <f t="shared" si="10"/>
        <v>391.34800000000001</v>
      </c>
      <c r="E96" s="217">
        <f t="shared" ref="E96:J96" si="11">SUM(E98:E100)</f>
        <v>13.167999999999999</v>
      </c>
      <c r="F96" s="343">
        <f t="shared" si="11"/>
        <v>0</v>
      </c>
      <c r="G96" s="217">
        <f t="shared" si="11"/>
        <v>378.18</v>
      </c>
      <c r="H96" s="343">
        <f t="shared" si="11"/>
        <v>363.74</v>
      </c>
      <c r="I96" s="217">
        <f t="shared" si="11"/>
        <v>0</v>
      </c>
      <c r="J96" s="343">
        <f t="shared" si="11"/>
        <v>0</v>
      </c>
    </row>
    <row r="97" spans="1:10" ht="12.75" customHeight="1" x14ac:dyDescent="0.25">
      <c r="A97" s="491"/>
      <c r="B97" s="478" t="s">
        <v>2</v>
      </c>
      <c r="C97" s="492"/>
      <c r="D97" s="473">
        <f t="shared" si="10"/>
        <v>0</v>
      </c>
      <c r="E97" s="101">
        <v>0</v>
      </c>
      <c r="F97" s="253">
        <v>0</v>
      </c>
      <c r="G97" s="101">
        <v>0</v>
      </c>
      <c r="H97" s="253">
        <v>0</v>
      </c>
      <c r="I97" s="101">
        <v>0</v>
      </c>
      <c r="J97" s="253">
        <v>0</v>
      </c>
    </row>
    <row r="98" spans="1:10" ht="23.4" customHeight="1" x14ac:dyDescent="0.25">
      <c r="A98" s="475" t="s">
        <v>67</v>
      </c>
      <c r="B98" s="478" t="s">
        <v>359</v>
      </c>
      <c r="C98" s="479" t="s">
        <v>26</v>
      </c>
      <c r="D98" s="473">
        <f>E98+G98+I98</f>
        <v>378.18</v>
      </c>
      <c r="E98" s="101"/>
      <c r="F98" s="253"/>
      <c r="G98" s="101">
        <v>378.18</v>
      </c>
      <c r="H98" s="253">
        <f>365.14-1.4</f>
        <v>363.74</v>
      </c>
      <c r="I98" s="101"/>
      <c r="J98" s="253"/>
    </row>
    <row r="99" spans="1:10" ht="23.25" customHeight="1" x14ac:dyDescent="0.25">
      <c r="A99" s="475" t="s">
        <v>68</v>
      </c>
      <c r="B99" s="478" t="s">
        <v>368</v>
      </c>
      <c r="C99" s="479" t="s">
        <v>24</v>
      </c>
      <c r="D99" s="473">
        <f t="shared" si="10"/>
        <v>13</v>
      </c>
      <c r="E99" s="101">
        <v>13</v>
      </c>
      <c r="F99" s="253">
        <v>0</v>
      </c>
      <c r="G99" s="101">
        <v>0</v>
      </c>
      <c r="H99" s="253">
        <v>0</v>
      </c>
      <c r="I99" s="101">
        <v>0</v>
      </c>
      <c r="J99" s="253">
        <v>0</v>
      </c>
    </row>
    <row r="100" spans="1:10" ht="23.25" customHeight="1" x14ac:dyDescent="0.25">
      <c r="A100" s="475" t="s">
        <v>163</v>
      </c>
      <c r="B100" s="478" t="s">
        <v>337</v>
      </c>
      <c r="C100" s="479" t="s">
        <v>24</v>
      </c>
      <c r="D100" s="473">
        <f t="shared" si="10"/>
        <v>0.16800000000000001</v>
      </c>
      <c r="E100" s="101">
        <v>0.16800000000000001</v>
      </c>
      <c r="F100" s="253">
        <v>0</v>
      </c>
      <c r="G100" s="101">
        <v>0</v>
      </c>
      <c r="H100" s="253">
        <v>0</v>
      </c>
      <c r="I100" s="101">
        <v>0</v>
      </c>
      <c r="J100" s="253">
        <v>0</v>
      </c>
    </row>
    <row r="101" spans="1:10" s="474" customFormat="1" ht="21.75" customHeight="1" x14ac:dyDescent="0.25">
      <c r="A101" s="373" t="s">
        <v>102</v>
      </c>
      <c r="B101" s="339" t="s">
        <v>13</v>
      </c>
      <c r="C101" s="490"/>
      <c r="D101" s="473">
        <f t="shared" si="10"/>
        <v>418.46800000000002</v>
      </c>
      <c r="E101" s="217">
        <f t="shared" ref="E101:J101" si="12">SUM(E103:E105)</f>
        <v>14.167999999999999</v>
      </c>
      <c r="F101" s="343">
        <f t="shared" si="12"/>
        <v>0</v>
      </c>
      <c r="G101" s="217">
        <f t="shared" si="12"/>
        <v>404.3</v>
      </c>
      <c r="H101" s="343">
        <f t="shared" si="12"/>
        <v>387.09</v>
      </c>
      <c r="I101" s="217">
        <f t="shared" si="12"/>
        <v>0</v>
      </c>
      <c r="J101" s="343">
        <f t="shared" si="12"/>
        <v>0</v>
      </c>
    </row>
    <row r="102" spans="1:10" ht="12.75" customHeight="1" x14ac:dyDescent="0.25">
      <c r="A102" s="491"/>
      <c r="B102" s="478" t="s">
        <v>2</v>
      </c>
      <c r="C102" s="492"/>
      <c r="D102" s="473">
        <f t="shared" si="10"/>
        <v>0</v>
      </c>
      <c r="E102" s="101">
        <v>0</v>
      </c>
      <c r="F102" s="253">
        <v>0</v>
      </c>
      <c r="G102" s="101">
        <v>0</v>
      </c>
      <c r="H102" s="253">
        <v>0</v>
      </c>
      <c r="I102" s="101">
        <v>0</v>
      </c>
      <c r="J102" s="253">
        <v>0</v>
      </c>
    </row>
    <row r="103" spans="1:10" ht="23.4" customHeight="1" x14ac:dyDescent="0.25">
      <c r="A103" s="475" t="s">
        <v>69</v>
      </c>
      <c r="B103" s="478" t="s">
        <v>359</v>
      </c>
      <c r="C103" s="479" t="s">
        <v>26</v>
      </c>
      <c r="D103" s="473">
        <f>E103+G103+I103</f>
        <v>404.3</v>
      </c>
      <c r="E103" s="101"/>
      <c r="F103" s="253"/>
      <c r="G103" s="101">
        <v>404.3</v>
      </c>
      <c r="H103" s="253">
        <f>390.09-3</f>
        <v>387.09</v>
      </c>
      <c r="I103" s="101"/>
      <c r="J103" s="253"/>
    </row>
    <row r="104" spans="1:10" ht="30" customHeight="1" x14ac:dyDescent="0.25">
      <c r="A104" s="475" t="s">
        <v>70</v>
      </c>
      <c r="B104" s="478" t="s">
        <v>368</v>
      </c>
      <c r="C104" s="479" t="s">
        <v>24</v>
      </c>
      <c r="D104" s="473">
        <f t="shared" si="10"/>
        <v>14</v>
      </c>
      <c r="E104" s="101">
        <v>14</v>
      </c>
      <c r="F104" s="253">
        <v>0</v>
      </c>
      <c r="G104" s="101">
        <v>0</v>
      </c>
      <c r="H104" s="253">
        <v>0</v>
      </c>
      <c r="I104" s="101">
        <v>0</v>
      </c>
      <c r="J104" s="253">
        <v>0</v>
      </c>
    </row>
    <row r="105" spans="1:10" ht="30" customHeight="1" x14ac:dyDescent="0.25">
      <c r="A105" s="475" t="s">
        <v>148</v>
      </c>
      <c r="B105" s="478" t="s">
        <v>337</v>
      </c>
      <c r="C105" s="479" t="s">
        <v>24</v>
      </c>
      <c r="D105" s="473">
        <f t="shared" si="10"/>
        <v>0.16800000000000001</v>
      </c>
      <c r="E105" s="101">
        <v>0.16800000000000001</v>
      </c>
      <c r="F105" s="253">
        <v>0</v>
      </c>
      <c r="G105" s="101">
        <v>0</v>
      </c>
      <c r="H105" s="253">
        <v>0</v>
      </c>
      <c r="I105" s="101">
        <v>0</v>
      </c>
      <c r="J105" s="253">
        <v>0</v>
      </c>
    </row>
    <row r="106" spans="1:10" s="474" customFormat="1" ht="28.5" customHeight="1" x14ac:dyDescent="0.25">
      <c r="A106" s="373" t="s">
        <v>103</v>
      </c>
      <c r="B106" s="339" t="s">
        <v>243</v>
      </c>
      <c r="C106" s="490"/>
      <c r="D106" s="473">
        <f t="shared" si="10"/>
        <v>22.8</v>
      </c>
      <c r="E106" s="217">
        <v>0</v>
      </c>
      <c r="F106" s="343">
        <v>0</v>
      </c>
      <c r="G106" s="217">
        <f>G108</f>
        <v>22.8</v>
      </c>
      <c r="H106" s="343">
        <f>H108</f>
        <v>22.47</v>
      </c>
      <c r="I106" s="217">
        <v>0</v>
      </c>
      <c r="J106" s="343">
        <v>0</v>
      </c>
    </row>
    <row r="107" spans="1:10" s="480" customFormat="1" ht="12" customHeight="1" x14ac:dyDescent="0.25">
      <c r="A107" s="491"/>
      <c r="B107" s="478" t="s">
        <v>2</v>
      </c>
      <c r="C107" s="494"/>
      <c r="D107" s="473">
        <f t="shared" si="10"/>
        <v>0</v>
      </c>
      <c r="E107" s="101">
        <v>0</v>
      </c>
      <c r="F107" s="253">
        <v>0</v>
      </c>
      <c r="G107" s="101">
        <v>0</v>
      </c>
      <c r="H107" s="253">
        <v>0</v>
      </c>
      <c r="I107" s="101">
        <v>0</v>
      </c>
      <c r="J107" s="253">
        <v>0</v>
      </c>
    </row>
    <row r="108" spans="1:10" s="480" customFormat="1" ht="26.25" customHeight="1" x14ac:dyDescent="0.25">
      <c r="A108" s="475" t="s">
        <v>71</v>
      </c>
      <c r="B108" s="478" t="s">
        <v>374</v>
      </c>
      <c r="C108" s="479" t="s">
        <v>26</v>
      </c>
      <c r="D108" s="473">
        <f t="shared" si="10"/>
        <v>22.8</v>
      </c>
      <c r="E108" s="101">
        <v>0</v>
      </c>
      <c r="F108" s="253">
        <v>0</v>
      </c>
      <c r="G108" s="101">
        <v>22.8</v>
      </c>
      <c r="H108" s="253">
        <v>22.47</v>
      </c>
      <c r="I108" s="101">
        <v>0</v>
      </c>
      <c r="J108" s="253">
        <v>0</v>
      </c>
    </row>
    <row r="109" spans="1:10" s="474" customFormat="1" ht="28.5" customHeight="1" x14ac:dyDescent="0.25">
      <c r="A109" s="373" t="s">
        <v>104</v>
      </c>
      <c r="B109" s="386" t="s">
        <v>375</v>
      </c>
      <c r="C109" s="490"/>
      <c r="D109" s="473">
        <f t="shared" si="10"/>
        <v>71.260000000000005</v>
      </c>
      <c r="E109" s="217">
        <v>0</v>
      </c>
      <c r="F109" s="343">
        <v>0</v>
      </c>
      <c r="G109" s="217">
        <f>G111</f>
        <v>71.260000000000005</v>
      </c>
      <c r="H109" s="343">
        <f>H111</f>
        <v>70.089999999999989</v>
      </c>
      <c r="I109" s="217">
        <v>0</v>
      </c>
      <c r="J109" s="343">
        <v>0</v>
      </c>
    </row>
    <row r="110" spans="1:10" s="480" customFormat="1" ht="12" customHeight="1" x14ac:dyDescent="0.25">
      <c r="A110" s="491"/>
      <c r="B110" s="478" t="s">
        <v>2</v>
      </c>
      <c r="C110" s="494"/>
      <c r="D110" s="473">
        <f t="shared" si="10"/>
        <v>0</v>
      </c>
      <c r="E110" s="101">
        <v>0</v>
      </c>
      <c r="F110" s="253">
        <v>0</v>
      </c>
      <c r="G110" s="101">
        <v>0</v>
      </c>
      <c r="H110" s="253">
        <v>0</v>
      </c>
      <c r="I110" s="101">
        <v>0</v>
      </c>
      <c r="J110" s="253">
        <v>0</v>
      </c>
    </row>
    <row r="111" spans="1:10" s="480" customFormat="1" ht="26.25" customHeight="1" x14ac:dyDescent="0.25">
      <c r="A111" s="475" t="s">
        <v>73</v>
      </c>
      <c r="B111" s="478" t="s">
        <v>376</v>
      </c>
      <c r="C111" s="479" t="s">
        <v>26</v>
      </c>
      <c r="D111" s="473">
        <f t="shared" si="10"/>
        <v>71.260000000000005</v>
      </c>
      <c r="E111" s="101">
        <v>0</v>
      </c>
      <c r="F111" s="253">
        <v>0</v>
      </c>
      <c r="G111" s="101">
        <v>71.260000000000005</v>
      </c>
      <c r="H111" s="253">
        <f>70.24-0.15</f>
        <v>70.089999999999989</v>
      </c>
      <c r="I111" s="101">
        <v>0</v>
      </c>
      <c r="J111" s="253">
        <v>0</v>
      </c>
    </row>
    <row r="112" spans="1:10" s="480" customFormat="1" ht="28.5" hidden="1" customHeight="1" x14ac:dyDescent="0.25">
      <c r="A112" s="491"/>
      <c r="B112" s="495" t="s">
        <v>151</v>
      </c>
      <c r="C112" s="496" t="s">
        <v>41</v>
      </c>
      <c r="D112" s="473">
        <f t="shared" si="10"/>
        <v>0</v>
      </c>
      <c r="E112" s="101">
        <v>0</v>
      </c>
      <c r="F112" s="253">
        <v>0</v>
      </c>
      <c r="G112" s="101">
        <v>0</v>
      </c>
      <c r="H112" s="253">
        <v>0</v>
      </c>
      <c r="I112" s="101">
        <v>0</v>
      </c>
      <c r="J112" s="253">
        <v>0</v>
      </c>
    </row>
    <row r="113" spans="1:10" s="480" customFormat="1" ht="12" hidden="1" customHeight="1" x14ac:dyDescent="0.25">
      <c r="A113" s="491"/>
      <c r="B113" s="478" t="s">
        <v>2</v>
      </c>
      <c r="C113" s="494"/>
      <c r="D113" s="473">
        <f t="shared" si="10"/>
        <v>0</v>
      </c>
      <c r="E113" s="101">
        <v>0</v>
      </c>
      <c r="F113" s="253">
        <v>0</v>
      </c>
      <c r="G113" s="101">
        <v>0</v>
      </c>
      <c r="H113" s="253">
        <v>0</v>
      </c>
      <c r="I113" s="101">
        <v>0</v>
      </c>
      <c r="J113" s="253">
        <v>0</v>
      </c>
    </row>
    <row r="114" spans="1:10" s="480" customFormat="1" ht="26.25" hidden="1" customHeight="1" x14ac:dyDescent="0.25">
      <c r="A114" s="475"/>
      <c r="B114" s="478" t="s">
        <v>377</v>
      </c>
      <c r="C114" s="479" t="s">
        <v>41</v>
      </c>
      <c r="D114" s="473">
        <f>E114+G114+I114</f>
        <v>0</v>
      </c>
      <c r="E114" s="101">
        <v>0</v>
      </c>
      <c r="F114" s="253">
        <v>0</v>
      </c>
      <c r="G114" s="101">
        <v>0</v>
      </c>
      <c r="H114" s="253">
        <v>0</v>
      </c>
      <c r="I114" s="101">
        <v>0</v>
      </c>
      <c r="J114" s="253">
        <v>0</v>
      </c>
    </row>
    <row r="115" spans="1:10" s="474" customFormat="1" ht="25.5" customHeight="1" x14ac:dyDescent="0.25">
      <c r="A115" s="373" t="s">
        <v>105</v>
      </c>
      <c r="B115" s="339" t="s">
        <v>16</v>
      </c>
      <c r="C115" s="490" t="s">
        <v>24</v>
      </c>
      <c r="D115" s="473">
        <f t="shared" si="10"/>
        <v>834</v>
      </c>
      <c r="E115" s="217">
        <f>SUM(E117:E118)</f>
        <v>834</v>
      </c>
      <c r="F115" s="343">
        <f>SUM(F117:F118)</f>
        <v>762.84999999999991</v>
      </c>
      <c r="G115" s="217">
        <v>0</v>
      </c>
      <c r="H115" s="343">
        <v>0</v>
      </c>
      <c r="I115" s="217">
        <v>0</v>
      </c>
      <c r="J115" s="343">
        <v>0</v>
      </c>
    </row>
    <row r="116" spans="1:10" s="480" customFormat="1" ht="13" x14ac:dyDescent="0.25">
      <c r="A116" s="491"/>
      <c r="B116" s="478" t="s">
        <v>2</v>
      </c>
      <c r="C116" s="492"/>
      <c r="D116" s="473">
        <f t="shared" si="10"/>
        <v>0</v>
      </c>
      <c r="E116" s="101">
        <v>0</v>
      </c>
      <c r="F116" s="253">
        <v>0</v>
      </c>
      <c r="G116" s="101">
        <v>0</v>
      </c>
      <c r="H116" s="253">
        <v>0</v>
      </c>
      <c r="I116" s="101">
        <v>0</v>
      </c>
      <c r="J116" s="253">
        <v>0</v>
      </c>
    </row>
    <row r="117" spans="1:10" ht="27" customHeight="1" x14ac:dyDescent="0.25">
      <c r="A117" s="475" t="s">
        <v>75</v>
      </c>
      <c r="B117" s="478" t="s">
        <v>378</v>
      </c>
      <c r="C117" s="479" t="s">
        <v>24</v>
      </c>
      <c r="D117" s="473">
        <f t="shared" si="10"/>
        <v>461.8</v>
      </c>
      <c r="E117" s="101">
        <v>461.8</v>
      </c>
      <c r="F117" s="253">
        <f>444.25-3.5</f>
        <v>440.75</v>
      </c>
      <c r="G117" s="101">
        <v>0</v>
      </c>
      <c r="H117" s="253">
        <v>0</v>
      </c>
      <c r="I117" s="101">
        <v>0</v>
      </c>
      <c r="J117" s="253">
        <v>0</v>
      </c>
    </row>
    <row r="118" spans="1:10" ht="23.25" customHeight="1" x14ac:dyDescent="0.25">
      <c r="A118" s="475" t="s">
        <v>76</v>
      </c>
      <c r="B118" s="478" t="s">
        <v>341</v>
      </c>
      <c r="C118" s="479" t="s">
        <v>24</v>
      </c>
      <c r="D118" s="473">
        <f t="shared" si="10"/>
        <v>372.2</v>
      </c>
      <c r="E118" s="101">
        <v>372.2</v>
      </c>
      <c r="F118" s="253">
        <f>325.7-3.6</f>
        <v>322.09999999999997</v>
      </c>
      <c r="G118" s="101">
        <v>0</v>
      </c>
      <c r="H118" s="253">
        <v>0</v>
      </c>
      <c r="I118" s="101">
        <v>0</v>
      </c>
      <c r="J118" s="253">
        <v>0</v>
      </c>
    </row>
    <row r="119" spans="1:10" s="474" customFormat="1" ht="28.5" customHeight="1" x14ac:dyDescent="0.25">
      <c r="A119" s="373" t="s">
        <v>106</v>
      </c>
      <c r="B119" s="339" t="s">
        <v>155</v>
      </c>
      <c r="C119" s="490" t="s">
        <v>24</v>
      </c>
      <c r="D119" s="473">
        <f t="shared" si="10"/>
        <v>42</v>
      </c>
      <c r="E119" s="217">
        <f>E121</f>
        <v>42</v>
      </c>
      <c r="F119" s="343">
        <f>F121</f>
        <v>32.799999999999997</v>
      </c>
      <c r="G119" s="217">
        <v>0</v>
      </c>
      <c r="H119" s="343">
        <v>0</v>
      </c>
      <c r="I119" s="217">
        <v>0</v>
      </c>
      <c r="J119" s="343">
        <v>0</v>
      </c>
    </row>
    <row r="120" spans="1:10" s="480" customFormat="1" ht="12" customHeight="1" x14ac:dyDescent="0.25">
      <c r="A120" s="491"/>
      <c r="B120" s="478" t="s">
        <v>2</v>
      </c>
      <c r="C120" s="494"/>
      <c r="D120" s="473">
        <f t="shared" si="10"/>
        <v>0</v>
      </c>
      <c r="E120" s="101">
        <v>0</v>
      </c>
      <c r="F120" s="253">
        <v>0</v>
      </c>
      <c r="G120" s="101">
        <v>0</v>
      </c>
      <c r="H120" s="253">
        <v>0</v>
      </c>
      <c r="I120" s="101">
        <v>0</v>
      </c>
      <c r="J120" s="253">
        <v>0</v>
      </c>
    </row>
    <row r="121" spans="1:10" s="480" customFormat="1" ht="26.25" customHeight="1" thickBot="1" x14ac:dyDescent="0.3">
      <c r="A121" s="497" t="s">
        <v>77</v>
      </c>
      <c r="B121" s="481" t="s">
        <v>341</v>
      </c>
      <c r="C121" s="498" t="s">
        <v>24</v>
      </c>
      <c r="D121" s="499">
        <f t="shared" si="10"/>
        <v>42</v>
      </c>
      <c r="E121" s="252">
        <v>42</v>
      </c>
      <c r="F121" s="402">
        <f>33.3-0.5</f>
        <v>32.799999999999997</v>
      </c>
      <c r="G121" s="252">
        <v>0</v>
      </c>
      <c r="H121" s="402">
        <v>0</v>
      </c>
      <c r="I121" s="252">
        <v>0</v>
      </c>
      <c r="J121" s="402">
        <v>0</v>
      </c>
    </row>
    <row r="122" spans="1:10" s="504" customFormat="1" ht="26.25" customHeight="1" thickBot="1" x14ac:dyDescent="0.35">
      <c r="A122" s="500"/>
      <c r="B122" s="501" t="s">
        <v>379</v>
      </c>
      <c r="C122" s="502"/>
      <c r="D122" s="503">
        <f>E122+G122+I122</f>
        <v>8986.6370000000006</v>
      </c>
      <c r="E122" s="406">
        <f t="shared" ref="E122:J122" si="13">SUM(E119,E115,E112,E109,E106,E101,E96,E91,E86,E81,E75,E68,E62,E56,E50,E14)</f>
        <v>1978.837</v>
      </c>
      <c r="F122" s="407">
        <f t="shared" si="13"/>
        <v>1065.7909999999997</v>
      </c>
      <c r="G122" s="406">
        <f t="shared" si="13"/>
        <v>6973.7</v>
      </c>
      <c r="H122" s="407">
        <f t="shared" si="13"/>
        <v>6669.4</v>
      </c>
      <c r="I122" s="408">
        <f t="shared" si="13"/>
        <v>34.1</v>
      </c>
      <c r="J122" s="407">
        <f t="shared" si="13"/>
        <v>0</v>
      </c>
    </row>
    <row r="123" spans="1:10" ht="12" customHeight="1" x14ac:dyDescent="0.25">
      <c r="A123" s="505"/>
      <c r="B123" s="506" t="s">
        <v>2</v>
      </c>
      <c r="C123" s="505"/>
      <c r="D123" s="507">
        <v>0</v>
      </c>
      <c r="E123" s="438">
        <v>0</v>
      </c>
      <c r="F123" s="439">
        <v>0</v>
      </c>
      <c r="G123" s="438">
        <v>0</v>
      </c>
      <c r="H123" s="439">
        <v>0</v>
      </c>
      <c r="I123" s="438">
        <v>0</v>
      </c>
      <c r="J123" s="439">
        <v>0</v>
      </c>
    </row>
    <row r="124" spans="1:10" ht="24.75" customHeight="1" x14ac:dyDescent="0.25">
      <c r="A124" s="475"/>
      <c r="B124" s="508" t="s">
        <v>380</v>
      </c>
      <c r="C124" s="509" t="s">
        <v>23</v>
      </c>
      <c r="D124" s="473">
        <f>SUM(D16,D17,D18,D19,D20,D21,D22,D23,D24,D25,D27,D28,D29,D30,D31,D33,D35,D37,D40)</f>
        <v>205.73700000000002</v>
      </c>
      <c r="E124" s="101">
        <f t="shared" ref="E124:J124" si="14">SUM(E16,E17,E18,E19,E20,E21,E22,E23,E24,E25,E27,E28,E29,E30,E31,E33,E35,E37,E40)</f>
        <v>205.73700000000002</v>
      </c>
      <c r="F124" s="253">
        <f t="shared" si="14"/>
        <v>178.511</v>
      </c>
      <c r="G124" s="101">
        <f t="shared" si="14"/>
        <v>0</v>
      </c>
      <c r="H124" s="253">
        <f t="shared" si="14"/>
        <v>0</v>
      </c>
      <c r="I124" s="101">
        <f t="shared" si="14"/>
        <v>0</v>
      </c>
      <c r="J124" s="253">
        <f t="shared" si="14"/>
        <v>0</v>
      </c>
    </row>
    <row r="125" spans="1:10" ht="24.75" customHeight="1" x14ac:dyDescent="0.25">
      <c r="A125" s="475"/>
      <c r="B125" s="508" t="s">
        <v>381</v>
      </c>
      <c r="C125" s="509" t="s">
        <v>26</v>
      </c>
      <c r="D125" s="473">
        <f>SUM(D47,D48,D52,D58,D64,D70,D72,D77,D83,D88,D93,D98,D103,D108,D111)</f>
        <v>6988.170000000001</v>
      </c>
      <c r="E125" s="101">
        <f t="shared" ref="E125:J125" si="15">SUM(E47,E48,E52,E58,E64,E70,E72,E77,E83,E88,E93,E98,E103,E108,E111)</f>
        <v>0</v>
      </c>
      <c r="F125" s="253">
        <f t="shared" si="15"/>
        <v>0</v>
      </c>
      <c r="G125" s="101">
        <f t="shared" si="15"/>
        <v>6954.0700000000006</v>
      </c>
      <c r="H125" s="253">
        <f t="shared" si="15"/>
        <v>6650.11</v>
      </c>
      <c r="I125" s="101">
        <f t="shared" si="15"/>
        <v>34.1</v>
      </c>
      <c r="J125" s="253">
        <f t="shared" si="15"/>
        <v>0</v>
      </c>
    </row>
    <row r="126" spans="1:10" ht="24.75" customHeight="1" x14ac:dyDescent="0.25">
      <c r="A126" s="475"/>
      <c r="B126" s="508" t="s">
        <v>382</v>
      </c>
      <c r="C126" s="509" t="s">
        <v>32</v>
      </c>
      <c r="D126" s="473">
        <f>D49</f>
        <v>19.63</v>
      </c>
      <c r="E126" s="101">
        <f t="shared" ref="E126:J126" si="16">E49</f>
        <v>0</v>
      </c>
      <c r="F126" s="253">
        <f t="shared" si="16"/>
        <v>0</v>
      </c>
      <c r="G126" s="101">
        <f t="shared" si="16"/>
        <v>19.63</v>
      </c>
      <c r="H126" s="253">
        <f t="shared" si="16"/>
        <v>19.29</v>
      </c>
      <c r="I126" s="101">
        <f t="shared" si="16"/>
        <v>0</v>
      </c>
      <c r="J126" s="253">
        <f t="shared" si="16"/>
        <v>0</v>
      </c>
    </row>
    <row r="127" spans="1:10" ht="21.75" customHeight="1" x14ac:dyDescent="0.25">
      <c r="A127" s="475"/>
      <c r="B127" s="508" t="s">
        <v>383</v>
      </c>
      <c r="C127" s="509" t="s">
        <v>24</v>
      </c>
      <c r="D127" s="473">
        <f>SUM(D32,D34,D36,D41,D54,D55,D60,D61,D66,D67,D73,D74,D79,D80,D84,D85,D89,D90,D94,D95,D99,D100,D104,D105,D117,D118,D121)</f>
        <v>1424.8000000000002</v>
      </c>
      <c r="E127" s="101">
        <f t="shared" ref="E127:J127" si="17">SUM(E32,E34,E36,E41,E54,E55,E60,E61,E66,E67,E73,E74,E79,E80,E84,E85,E89,E90,E94,E95,E99,E100,E104,E105,E117,E118,E121)</f>
        <v>1424.8000000000002</v>
      </c>
      <c r="F127" s="253">
        <f t="shared" si="17"/>
        <v>795.64999999999986</v>
      </c>
      <c r="G127" s="101">
        <f t="shared" si="17"/>
        <v>0</v>
      </c>
      <c r="H127" s="253">
        <f t="shared" si="17"/>
        <v>0</v>
      </c>
      <c r="I127" s="101">
        <f t="shared" si="17"/>
        <v>0</v>
      </c>
      <c r="J127" s="253">
        <f t="shared" si="17"/>
        <v>0</v>
      </c>
    </row>
    <row r="128" spans="1:10" ht="25.5" customHeight="1" x14ac:dyDescent="0.25">
      <c r="A128" s="475"/>
      <c r="B128" s="508" t="s">
        <v>384</v>
      </c>
      <c r="C128" s="509" t="s">
        <v>34</v>
      </c>
      <c r="D128" s="473">
        <f>SUM(D42,D43,D44)</f>
        <v>189.4</v>
      </c>
      <c r="E128" s="101">
        <f t="shared" ref="E128:J128" si="18">SUM(E42,E43,E44)</f>
        <v>189.4</v>
      </c>
      <c r="F128" s="253">
        <f t="shared" si="18"/>
        <v>1.71</v>
      </c>
      <c r="G128" s="101">
        <f t="shared" si="18"/>
        <v>0</v>
      </c>
      <c r="H128" s="253">
        <f t="shared" si="18"/>
        <v>0</v>
      </c>
      <c r="I128" s="101">
        <f t="shared" si="18"/>
        <v>0</v>
      </c>
      <c r="J128" s="253">
        <f t="shared" si="18"/>
        <v>0</v>
      </c>
    </row>
    <row r="129" spans="1:10" ht="25.5" customHeight="1" thickBot="1" x14ac:dyDescent="0.3">
      <c r="A129" s="510"/>
      <c r="B129" s="511" t="s">
        <v>385</v>
      </c>
      <c r="C129" s="512" t="s">
        <v>41</v>
      </c>
      <c r="D129" s="513">
        <f>SUM(D38,D114)</f>
        <v>158.89999999999998</v>
      </c>
      <c r="E129" s="445">
        <f t="shared" ref="E129:J129" si="19">SUM(E38,E114)</f>
        <v>158.89999999999998</v>
      </c>
      <c r="F129" s="446">
        <f t="shared" si="19"/>
        <v>89.919999999999987</v>
      </c>
      <c r="G129" s="445">
        <f t="shared" si="19"/>
        <v>0</v>
      </c>
      <c r="H129" s="446">
        <f t="shared" si="19"/>
        <v>0</v>
      </c>
      <c r="I129" s="445">
        <f t="shared" si="19"/>
        <v>0</v>
      </c>
      <c r="J129" s="446">
        <f t="shared" si="19"/>
        <v>0</v>
      </c>
    </row>
    <row r="130" spans="1:10" x14ac:dyDescent="0.25">
      <c r="C130" s="514"/>
      <c r="D130" s="514"/>
      <c r="E130" s="515"/>
    </row>
    <row r="131" spans="1:10" hidden="1" x14ac:dyDescent="0.25"/>
    <row r="132" spans="1:10" hidden="1" x14ac:dyDescent="0.25">
      <c r="E132" s="456">
        <f>E122-E124-E127-E128-E129</f>
        <v>-2.5579538487363607E-13</v>
      </c>
      <c r="F132" s="322">
        <f>F122-F124-F127-F128-F129</f>
        <v>0</v>
      </c>
    </row>
    <row r="133" spans="1:10" hidden="1" x14ac:dyDescent="0.25">
      <c r="D133" s="516">
        <f>SUM(D124:D129)-D122</f>
        <v>0</v>
      </c>
      <c r="E133" s="516">
        <f t="shared" ref="E133:J133" si="20">SUM(E124:E129)-E122</f>
        <v>0</v>
      </c>
      <c r="F133" s="516">
        <f t="shared" si="20"/>
        <v>0</v>
      </c>
      <c r="G133" s="516">
        <f t="shared" si="20"/>
        <v>0</v>
      </c>
      <c r="H133" s="516">
        <f t="shared" si="20"/>
        <v>0</v>
      </c>
      <c r="I133" s="516">
        <f t="shared" si="20"/>
        <v>0</v>
      </c>
      <c r="J133" s="516">
        <f t="shared" si="20"/>
        <v>0</v>
      </c>
    </row>
    <row r="134" spans="1:10" hidden="1" x14ac:dyDescent="0.25"/>
    <row r="135" spans="1:10" hidden="1" x14ac:dyDescent="0.25">
      <c r="D135" s="516">
        <f>E122+G122+I122-D122</f>
        <v>0</v>
      </c>
    </row>
  </sheetData>
  <mergeCells count="14">
    <mergeCell ref="G11:G12"/>
    <mergeCell ref="H11:H12"/>
    <mergeCell ref="I11:I12"/>
    <mergeCell ref="J11:J12"/>
    <mergeCell ref="A8:J8"/>
    <mergeCell ref="A10:A12"/>
    <mergeCell ref="B10:B12"/>
    <mergeCell ref="C10:C12"/>
    <mergeCell ref="D10:D12"/>
    <mergeCell ref="E10:F10"/>
    <mergeCell ref="G10:H10"/>
    <mergeCell ref="I10:J10"/>
    <mergeCell ref="E11:E12"/>
    <mergeCell ref="F11:F12"/>
  </mergeCells>
  <conditionalFormatting sqref="G44:J44 D23:J43 D104:J105 D46:J57 D60:J63 D66:J69 D72:J76 D79:J82 D84:J87 D89:J92 D94:J97 D99:J102 D112:J129 D14:J21">
    <cfRule type="cellIs" dxfId="163" priority="26" stopIfTrue="1" operator="equal">
      <formula>0</formula>
    </cfRule>
  </conditionalFormatting>
  <conditionalFormatting sqref="D44:F44 D45">
    <cfRule type="cellIs" dxfId="162" priority="25" stopIfTrue="1" operator="equal">
      <formula>0</formula>
    </cfRule>
  </conditionalFormatting>
  <conditionalFormatting sqref="D22:J22">
    <cfRule type="cellIs" dxfId="161" priority="24" stopIfTrue="1" operator="equal">
      <formula>0</formula>
    </cfRule>
  </conditionalFormatting>
  <conditionalFormatting sqref="E45:F45">
    <cfRule type="cellIs" dxfId="160" priority="23" stopIfTrue="1" operator="equal">
      <formula>0</formula>
    </cfRule>
  </conditionalFormatting>
  <conditionalFormatting sqref="G45:H45">
    <cfRule type="cellIs" dxfId="159" priority="22" stopIfTrue="1" operator="equal">
      <formula>0</formula>
    </cfRule>
  </conditionalFormatting>
  <conditionalFormatting sqref="I45:J45">
    <cfRule type="cellIs" dxfId="158" priority="21" stopIfTrue="1" operator="equal">
      <formula>0</formula>
    </cfRule>
  </conditionalFormatting>
  <conditionalFormatting sqref="D109:J111">
    <cfRule type="cellIs" dxfId="157" priority="20" stopIfTrue="1" operator="equal">
      <formula>0</formula>
    </cfRule>
  </conditionalFormatting>
  <conditionalFormatting sqref="D106:J108">
    <cfRule type="cellIs" dxfId="156" priority="19" stopIfTrue="1" operator="equal">
      <formula>0</formula>
    </cfRule>
  </conditionalFormatting>
  <conditionalFormatting sqref="D59:J59 E58:J58">
    <cfRule type="cellIs" dxfId="155" priority="18" stopIfTrue="1" operator="equal">
      <formula>0</formula>
    </cfRule>
  </conditionalFormatting>
  <conditionalFormatting sqref="D65:J65 E64:J64">
    <cfRule type="cellIs" dxfId="154" priority="17" stopIfTrue="1" operator="equal">
      <formula>0</formula>
    </cfRule>
  </conditionalFormatting>
  <conditionalFormatting sqref="D71:J71 E70:J70">
    <cfRule type="cellIs" dxfId="153" priority="16" stopIfTrue="1" operator="equal">
      <formula>0</formula>
    </cfRule>
  </conditionalFormatting>
  <conditionalFormatting sqref="D78:J78 E77:J77">
    <cfRule type="cellIs" dxfId="152" priority="15" stopIfTrue="1" operator="equal">
      <formula>0</formula>
    </cfRule>
  </conditionalFormatting>
  <conditionalFormatting sqref="E83:J83">
    <cfRule type="cellIs" dxfId="151" priority="14" stopIfTrue="1" operator="equal">
      <formula>0</formula>
    </cfRule>
  </conditionalFormatting>
  <conditionalFormatting sqref="E88:J88">
    <cfRule type="cellIs" dxfId="150" priority="13" stopIfTrue="1" operator="equal">
      <formula>0</formula>
    </cfRule>
  </conditionalFormatting>
  <conditionalFormatting sqref="E93:J93">
    <cfRule type="cellIs" dxfId="149" priority="12" stopIfTrue="1" operator="equal">
      <formula>0</formula>
    </cfRule>
  </conditionalFormatting>
  <conditionalFormatting sqref="E98:J98">
    <cfRule type="cellIs" dxfId="148" priority="11" stopIfTrue="1" operator="equal">
      <formula>0</formula>
    </cfRule>
  </conditionalFormatting>
  <conditionalFormatting sqref="E103:J103">
    <cfRule type="cellIs" dxfId="147" priority="10" stopIfTrue="1" operator="equal">
      <formula>0</formula>
    </cfRule>
  </conditionalFormatting>
  <conditionalFormatting sqref="D58">
    <cfRule type="cellIs" dxfId="146" priority="9" stopIfTrue="1" operator="equal">
      <formula>0</formula>
    </cfRule>
  </conditionalFormatting>
  <conditionalFormatting sqref="D64">
    <cfRule type="cellIs" dxfId="145" priority="8" stopIfTrue="1" operator="equal">
      <formula>0</formula>
    </cfRule>
  </conditionalFormatting>
  <conditionalFormatting sqref="D70">
    <cfRule type="cellIs" dxfId="144" priority="7" stopIfTrue="1" operator="equal">
      <formula>0</formula>
    </cfRule>
  </conditionalFormatting>
  <conditionalFormatting sqref="D77">
    <cfRule type="cellIs" dxfId="143" priority="6" stopIfTrue="1" operator="equal">
      <formula>0</formula>
    </cfRule>
  </conditionalFormatting>
  <conditionalFormatting sqref="D83">
    <cfRule type="cellIs" dxfId="142" priority="5" stopIfTrue="1" operator="equal">
      <formula>0</formula>
    </cfRule>
  </conditionalFormatting>
  <conditionalFormatting sqref="D88">
    <cfRule type="cellIs" dxfId="141" priority="4" stopIfTrue="1" operator="equal">
      <formula>0</formula>
    </cfRule>
  </conditionalFormatting>
  <conditionalFormatting sqref="D93">
    <cfRule type="cellIs" dxfId="140" priority="3" stopIfTrue="1" operator="equal">
      <formula>0</formula>
    </cfRule>
  </conditionalFormatting>
  <conditionalFormatting sqref="D98">
    <cfRule type="cellIs" dxfId="139" priority="2" stopIfTrue="1" operator="equal">
      <formula>0</formula>
    </cfRule>
  </conditionalFormatting>
  <conditionalFormatting sqref="D103">
    <cfRule type="cellIs" dxfId="138" priority="1" stopIfTrue="1" operator="equal">
      <formula>0</formula>
    </cfRule>
  </conditionalFormatting>
  <pageMargins left="0.70866141732283472" right="0.31496062992125984" top="0.74803149606299213" bottom="0.74803149606299213" header="0.31496062992125984" footer="0.31496062992125984"/>
  <pageSetup paperSize="9" scale="64" fitToHeight="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E3326-6E26-45B4-8B22-20E229D337EC}">
  <sheetPr>
    <pageSetUpPr fitToPage="1"/>
  </sheetPr>
  <dimension ref="A1:K172"/>
  <sheetViews>
    <sheetView workbookViewId="0">
      <pane ySplit="11" topLeftCell="A12" activePane="bottomLeft" state="frozen"/>
      <selection pane="bottomLeft"/>
    </sheetView>
  </sheetViews>
  <sheetFormatPr defaultColWidth="9.08984375" defaultRowHeight="12.5" x14ac:dyDescent="0.25"/>
  <cols>
    <col min="1" max="1" width="4.54296875" style="320" customWidth="1"/>
    <col min="2" max="2" width="83.1796875" style="321" customWidth="1"/>
    <col min="3" max="3" width="5.36328125" style="242" customWidth="1"/>
    <col min="4" max="4" width="10.453125" style="517" customWidth="1"/>
    <col min="5" max="5" width="11.6328125" style="326" customWidth="1"/>
    <col min="6" max="10" width="9.08984375" style="218"/>
    <col min="11" max="11" width="9.08984375" style="518"/>
    <col min="12" max="16384" width="9.08984375" style="218"/>
  </cols>
  <sheetData>
    <row r="1" spans="1:11" x14ac:dyDescent="0.25">
      <c r="C1" s="322" t="s">
        <v>4</v>
      </c>
    </row>
    <row r="2" spans="1:11" ht="13.5" customHeight="1" x14ac:dyDescent="0.25">
      <c r="C2" s="322" t="s">
        <v>276</v>
      </c>
    </row>
    <row r="3" spans="1:11" s="521" customFormat="1" ht="13" hidden="1" x14ac:dyDescent="0.3">
      <c r="A3" s="323"/>
      <c r="B3" s="324"/>
      <c r="C3" s="325" t="s">
        <v>275</v>
      </c>
      <c r="D3" s="519"/>
      <c r="E3" s="520"/>
      <c r="K3" s="522"/>
    </row>
    <row r="4" spans="1:11" s="521" customFormat="1" ht="13" hidden="1" x14ac:dyDescent="0.3">
      <c r="A4" s="323"/>
      <c r="B4" s="324"/>
      <c r="C4" s="325" t="s">
        <v>192</v>
      </c>
      <c r="D4" s="519"/>
      <c r="E4" s="520"/>
      <c r="K4" s="522"/>
    </row>
    <row r="5" spans="1:11" x14ac:dyDescent="0.25">
      <c r="C5" s="326" t="s">
        <v>386</v>
      </c>
    </row>
    <row r="7" spans="1:11" ht="36" customHeight="1" x14ac:dyDescent="0.25">
      <c r="A7" s="629" t="s">
        <v>387</v>
      </c>
      <c r="B7" s="629"/>
      <c r="C7" s="629"/>
      <c r="D7" s="629"/>
      <c r="E7" s="629"/>
    </row>
    <row r="8" spans="1:11" ht="12.75" customHeight="1" thickBot="1" x14ac:dyDescent="0.3">
      <c r="E8" s="523" t="s">
        <v>154</v>
      </c>
    </row>
    <row r="9" spans="1:11" x14ac:dyDescent="0.25">
      <c r="A9" s="630" t="s">
        <v>6</v>
      </c>
      <c r="B9" s="630" t="s">
        <v>388</v>
      </c>
      <c r="C9" s="633" t="s">
        <v>295</v>
      </c>
      <c r="D9" s="636" t="s">
        <v>389</v>
      </c>
      <c r="E9" s="637"/>
    </row>
    <row r="10" spans="1:11" x14ac:dyDescent="0.25">
      <c r="A10" s="631"/>
      <c r="B10" s="631"/>
      <c r="C10" s="634"/>
      <c r="D10" s="638" t="s">
        <v>0</v>
      </c>
      <c r="E10" s="640" t="s">
        <v>278</v>
      </c>
    </row>
    <row r="11" spans="1:11" ht="21" customHeight="1" thickBot="1" x14ac:dyDescent="0.3">
      <c r="A11" s="632"/>
      <c r="B11" s="632"/>
      <c r="C11" s="635"/>
      <c r="D11" s="639"/>
      <c r="E11" s="641"/>
    </row>
    <row r="12" spans="1:11" x14ac:dyDescent="0.25">
      <c r="A12" s="524">
        <v>1</v>
      </c>
      <c r="B12" s="525">
        <v>2</v>
      </c>
      <c r="C12" s="244">
        <v>3</v>
      </c>
      <c r="D12" s="526">
        <v>4</v>
      </c>
      <c r="E12" s="527">
        <v>5</v>
      </c>
    </row>
    <row r="13" spans="1:11" ht="27" customHeight="1" x14ac:dyDescent="0.25">
      <c r="A13" s="349" t="s">
        <v>125</v>
      </c>
      <c r="B13" s="339" t="s">
        <v>21</v>
      </c>
      <c r="C13" s="378"/>
      <c r="D13" s="528">
        <f>SUM(D15:D46)</f>
        <v>1760.79</v>
      </c>
      <c r="E13" s="529">
        <f>SUM(E15:E46)</f>
        <v>91.19</v>
      </c>
    </row>
    <row r="14" spans="1:11" ht="14.4" customHeight="1" x14ac:dyDescent="0.25">
      <c r="A14" s="530"/>
      <c r="B14" s="531" t="s">
        <v>300</v>
      </c>
      <c r="C14" s="378"/>
      <c r="D14" s="528"/>
      <c r="E14" s="343"/>
    </row>
    <row r="15" spans="1:11" ht="26" hidden="1" x14ac:dyDescent="0.25">
      <c r="A15" s="624"/>
      <c r="B15" s="532" t="s">
        <v>390</v>
      </c>
      <c r="C15" s="533">
        <v>1</v>
      </c>
      <c r="D15" s="528"/>
      <c r="E15" s="253"/>
    </row>
    <row r="16" spans="1:11" ht="29.4" customHeight="1" x14ac:dyDescent="0.25">
      <c r="A16" s="625"/>
      <c r="B16" s="532" t="s">
        <v>391</v>
      </c>
      <c r="C16" s="533">
        <v>2</v>
      </c>
      <c r="D16" s="528">
        <v>109.5</v>
      </c>
      <c r="E16" s="253">
        <v>89.5</v>
      </c>
    </row>
    <row r="17" spans="1:5" ht="33.65" hidden="1" customHeight="1" x14ac:dyDescent="0.25">
      <c r="A17" s="625"/>
      <c r="B17" s="532" t="s">
        <v>392</v>
      </c>
      <c r="C17" s="533">
        <v>2</v>
      </c>
      <c r="D17" s="528"/>
      <c r="E17" s="253"/>
    </row>
    <row r="18" spans="1:5" ht="36" hidden="1" customHeight="1" x14ac:dyDescent="0.25">
      <c r="A18" s="625"/>
      <c r="B18" s="532" t="s">
        <v>393</v>
      </c>
      <c r="C18" s="533">
        <v>2</v>
      </c>
      <c r="D18" s="528"/>
      <c r="E18" s="253"/>
    </row>
    <row r="19" spans="1:5" ht="26" hidden="1" x14ac:dyDescent="0.25">
      <c r="A19" s="625"/>
      <c r="B19" s="532" t="s">
        <v>393</v>
      </c>
      <c r="C19" s="533">
        <v>3</v>
      </c>
      <c r="D19" s="528"/>
      <c r="E19" s="253"/>
    </row>
    <row r="20" spans="1:5" ht="26" hidden="1" x14ac:dyDescent="0.25">
      <c r="A20" s="625"/>
      <c r="B20" s="532" t="s">
        <v>393</v>
      </c>
      <c r="C20" s="533">
        <v>4</v>
      </c>
      <c r="D20" s="528"/>
      <c r="E20" s="253"/>
    </row>
    <row r="21" spans="1:5" ht="26" hidden="1" x14ac:dyDescent="0.25">
      <c r="A21" s="625"/>
      <c r="B21" s="532" t="s">
        <v>394</v>
      </c>
      <c r="C21" s="533">
        <v>5</v>
      </c>
      <c r="D21" s="528"/>
      <c r="E21" s="253"/>
    </row>
    <row r="22" spans="1:5" ht="26" x14ac:dyDescent="0.25">
      <c r="A22" s="625"/>
      <c r="B22" s="532" t="s">
        <v>395</v>
      </c>
      <c r="C22" s="533">
        <v>6</v>
      </c>
      <c r="D22" s="528">
        <v>0.3</v>
      </c>
      <c r="E22" s="253">
        <v>0.29499999999999998</v>
      </c>
    </row>
    <row r="23" spans="1:5" ht="26" x14ac:dyDescent="0.25">
      <c r="A23" s="625"/>
      <c r="B23" s="534" t="s">
        <v>396</v>
      </c>
      <c r="C23" s="533">
        <v>6</v>
      </c>
      <c r="D23" s="528">
        <v>1.415</v>
      </c>
      <c r="E23" s="253">
        <v>1.395</v>
      </c>
    </row>
    <row r="24" spans="1:5" ht="39" x14ac:dyDescent="0.25">
      <c r="A24" s="625"/>
      <c r="B24" s="532" t="s">
        <v>397</v>
      </c>
      <c r="C24" s="533">
        <v>6</v>
      </c>
      <c r="D24" s="528">
        <v>155.80000000000001</v>
      </c>
      <c r="E24" s="253"/>
    </row>
    <row r="25" spans="1:5" ht="26" hidden="1" x14ac:dyDescent="0.25">
      <c r="A25" s="625"/>
      <c r="B25" s="532" t="s">
        <v>398</v>
      </c>
      <c r="C25" s="533">
        <v>7</v>
      </c>
      <c r="D25" s="528"/>
      <c r="E25" s="253"/>
    </row>
    <row r="26" spans="1:5" ht="26" hidden="1" x14ac:dyDescent="0.25">
      <c r="A26" s="625"/>
      <c r="B26" s="532" t="s">
        <v>399</v>
      </c>
      <c r="C26" s="533">
        <v>7</v>
      </c>
      <c r="D26" s="528"/>
      <c r="E26" s="253"/>
    </row>
    <row r="27" spans="1:5" ht="39" hidden="1" x14ac:dyDescent="0.25">
      <c r="A27" s="625"/>
      <c r="B27" s="532" t="s">
        <v>400</v>
      </c>
      <c r="C27" s="533">
        <v>7</v>
      </c>
      <c r="D27" s="528"/>
      <c r="E27" s="253"/>
    </row>
    <row r="28" spans="1:5" ht="33" hidden="1" customHeight="1" x14ac:dyDescent="0.25">
      <c r="A28" s="625"/>
      <c r="B28" s="532" t="s">
        <v>401</v>
      </c>
      <c r="C28" s="533">
        <v>7</v>
      </c>
      <c r="D28" s="528"/>
      <c r="E28" s="253"/>
    </row>
    <row r="29" spans="1:5" ht="52.25" hidden="1" customHeight="1" x14ac:dyDescent="0.25">
      <c r="A29" s="625"/>
      <c r="B29" s="532" t="s">
        <v>402</v>
      </c>
      <c r="C29" s="533">
        <v>7</v>
      </c>
      <c r="D29" s="528"/>
      <c r="E29" s="253"/>
    </row>
    <row r="30" spans="1:5" ht="73.25" hidden="1" customHeight="1" x14ac:dyDescent="0.25">
      <c r="A30" s="625"/>
      <c r="B30" s="532" t="s">
        <v>403</v>
      </c>
      <c r="C30" s="533">
        <v>7</v>
      </c>
      <c r="D30" s="528"/>
      <c r="E30" s="253"/>
    </row>
    <row r="31" spans="1:5" ht="26" hidden="1" x14ac:dyDescent="0.25">
      <c r="A31" s="625"/>
      <c r="B31" s="532" t="s">
        <v>404</v>
      </c>
      <c r="C31" s="533">
        <v>7</v>
      </c>
      <c r="D31" s="528"/>
      <c r="E31" s="253"/>
    </row>
    <row r="32" spans="1:5" ht="41.4" customHeight="1" x14ac:dyDescent="0.25">
      <c r="A32" s="625"/>
      <c r="B32" s="535" t="s">
        <v>405</v>
      </c>
      <c r="C32" s="533">
        <v>8</v>
      </c>
      <c r="D32" s="528">
        <v>46.908000000000001</v>
      </c>
      <c r="E32" s="253"/>
    </row>
    <row r="33" spans="1:5" ht="52" hidden="1" x14ac:dyDescent="0.25">
      <c r="A33" s="625"/>
      <c r="B33" s="535" t="s">
        <v>406</v>
      </c>
      <c r="C33" s="533">
        <v>9</v>
      </c>
      <c r="D33" s="528"/>
      <c r="E33" s="253"/>
    </row>
    <row r="34" spans="1:5" ht="26" hidden="1" x14ac:dyDescent="0.25">
      <c r="A34" s="625"/>
      <c r="B34" s="535" t="s">
        <v>407</v>
      </c>
      <c r="C34" s="533">
        <v>9</v>
      </c>
      <c r="D34" s="528"/>
      <c r="E34" s="253"/>
    </row>
    <row r="35" spans="1:5" ht="13" hidden="1" x14ac:dyDescent="0.25">
      <c r="A35" s="625"/>
      <c r="B35" s="535" t="s">
        <v>408</v>
      </c>
      <c r="C35" s="533">
        <v>9</v>
      </c>
      <c r="D35" s="528"/>
      <c r="E35" s="253"/>
    </row>
    <row r="36" spans="1:5" ht="26" x14ac:dyDescent="0.25">
      <c r="A36" s="625"/>
      <c r="B36" s="535" t="s">
        <v>409</v>
      </c>
      <c r="C36" s="533">
        <v>9</v>
      </c>
      <c r="D36" s="528">
        <v>18.489000000000001</v>
      </c>
      <c r="E36" s="253"/>
    </row>
    <row r="37" spans="1:5" ht="26" hidden="1" x14ac:dyDescent="0.25">
      <c r="A37" s="625"/>
      <c r="B37" s="532" t="s">
        <v>393</v>
      </c>
      <c r="C37" s="533">
        <v>9</v>
      </c>
      <c r="D37" s="528"/>
      <c r="E37" s="253"/>
    </row>
    <row r="38" spans="1:5" ht="39" x14ac:dyDescent="0.25">
      <c r="A38" s="625"/>
      <c r="B38" s="535" t="s">
        <v>410</v>
      </c>
      <c r="C38" s="533">
        <v>9</v>
      </c>
      <c r="D38" s="528">
        <v>13.685</v>
      </c>
      <c r="E38" s="253"/>
    </row>
    <row r="39" spans="1:5" ht="39" x14ac:dyDescent="0.25">
      <c r="A39" s="625"/>
      <c r="B39" s="535" t="s">
        <v>411</v>
      </c>
      <c r="C39" s="533">
        <v>10</v>
      </c>
      <c r="D39" s="528">
        <v>17.725999999999999</v>
      </c>
      <c r="E39" s="253"/>
    </row>
    <row r="40" spans="1:5" ht="39" x14ac:dyDescent="0.25">
      <c r="A40" s="625"/>
      <c r="B40" s="535" t="s">
        <v>412</v>
      </c>
      <c r="C40" s="533">
        <v>10</v>
      </c>
      <c r="D40" s="528">
        <v>88.287000000000006</v>
      </c>
      <c r="E40" s="253"/>
    </row>
    <row r="41" spans="1:5" ht="39" hidden="1" x14ac:dyDescent="0.25">
      <c r="A41" s="625"/>
      <c r="B41" s="535" t="s">
        <v>413</v>
      </c>
      <c r="C41" s="533">
        <v>10</v>
      </c>
      <c r="D41" s="528"/>
      <c r="E41" s="253"/>
    </row>
    <row r="42" spans="1:5" ht="39" hidden="1" x14ac:dyDescent="0.25">
      <c r="A42" s="625"/>
      <c r="B42" s="535" t="s">
        <v>414</v>
      </c>
      <c r="C42" s="533">
        <v>10</v>
      </c>
      <c r="D42" s="528"/>
      <c r="E42" s="253"/>
    </row>
    <row r="43" spans="1:5" ht="26" hidden="1" x14ac:dyDescent="0.25">
      <c r="A43" s="625"/>
      <c r="B43" s="532" t="s">
        <v>393</v>
      </c>
      <c r="C43" s="533">
        <v>10</v>
      </c>
      <c r="D43" s="528"/>
      <c r="E43" s="253"/>
    </row>
    <row r="44" spans="1:5" ht="39" x14ac:dyDescent="0.25">
      <c r="A44" s="625"/>
      <c r="B44" s="535" t="s">
        <v>415</v>
      </c>
      <c r="C44" s="533">
        <v>10</v>
      </c>
      <c r="D44" s="528">
        <v>72.98</v>
      </c>
      <c r="E44" s="253"/>
    </row>
    <row r="45" spans="1:5" ht="38.4" hidden="1" customHeight="1" x14ac:dyDescent="0.25">
      <c r="A45" s="625"/>
      <c r="B45" s="535" t="s">
        <v>416</v>
      </c>
      <c r="C45" s="533">
        <v>10</v>
      </c>
      <c r="D45" s="528"/>
      <c r="E45" s="253"/>
    </row>
    <row r="46" spans="1:5" ht="26" x14ac:dyDescent="0.25">
      <c r="A46" s="625"/>
      <c r="B46" s="535" t="s">
        <v>417</v>
      </c>
      <c r="C46" s="533">
        <v>10</v>
      </c>
      <c r="D46" s="528">
        <v>1235.7</v>
      </c>
      <c r="E46" s="253"/>
    </row>
    <row r="47" spans="1:5" ht="25.75" customHeight="1" x14ac:dyDescent="0.25">
      <c r="A47" s="373" t="s">
        <v>126</v>
      </c>
      <c r="B47" s="536" t="s">
        <v>8</v>
      </c>
      <c r="C47" s="378"/>
      <c r="D47" s="528">
        <f>SUM(D48:D56)</f>
        <v>3.1</v>
      </c>
      <c r="E47" s="529">
        <f>SUM(E48:E56)</f>
        <v>3.0500000000000003</v>
      </c>
    </row>
    <row r="48" spans="1:5" ht="39" hidden="1" x14ac:dyDescent="0.25">
      <c r="A48" s="394"/>
      <c r="B48" s="532" t="s">
        <v>418</v>
      </c>
      <c r="C48" s="533">
        <v>2</v>
      </c>
      <c r="D48" s="528"/>
      <c r="E48" s="343"/>
    </row>
    <row r="49" spans="1:5" ht="39" x14ac:dyDescent="0.25">
      <c r="A49" s="394"/>
      <c r="B49" s="534" t="s">
        <v>419</v>
      </c>
      <c r="C49" s="533">
        <v>2</v>
      </c>
      <c r="D49" s="528">
        <v>0.4</v>
      </c>
      <c r="E49" s="253">
        <v>0.39</v>
      </c>
    </row>
    <row r="50" spans="1:5" ht="39" x14ac:dyDescent="0.25">
      <c r="A50" s="394"/>
      <c r="B50" s="534" t="s">
        <v>420</v>
      </c>
      <c r="C50" s="533">
        <v>2</v>
      </c>
      <c r="D50" s="528">
        <v>2.7</v>
      </c>
      <c r="E50" s="253">
        <v>2.66</v>
      </c>
    </row>
    <row r="51" spans="1:5" ht="26" hidden="1" x14ac:dyDescent="0.25">
      <c r="A51" s="394"/>
      <c r="B51" s="532" t="s">
        <v>421</v>
      </c>
      <c r="C51" s="533">
        <v>2</v>
      </c>
      <c r="D51" s="528"/>
      <c r="E51" s="253"/>
    </row>
    <row r="52" spans="1:5" ht="26" hidden="1" x14ac:dyDescent="0.25">
      <c r="A52" s="394"/>
      <c r="B52" s="532" t="s">
        <v>393</v>
      </c>
      <c r="C52" s="533">
        <v>2</v>
      </c>
      <c r="D52" s="528"/>
      <c r="E52" s="253"/>
    </row>
    <row r="53" spans="1:5" ht="26" hidden="1" x14ac:dyDescent="0.25">
      <c r="A53" s="394"/>
      <c r="B53" s="532" t="s">
        <v>392</v>
      </c>
      <c r="C53" s="533">
        <v>2</v>
      </c>
      <c r="D53" s="528"/>
      <c r="E53" s="253"/>
    </row>
    <row r="54" spans="1:5" ht="26" hidden="1" x14ac:dyDescent="0.25">
      <c r="A54" s="394"/>
      <c r="B54" s="532" t="s">
        <v>422</v>
      </c>
      <c r="C54" s="533">
        <v>2</v>
      </c>
      <c r="D54" s="528"/>
      <c r="E54" s="253"/>
    </row>
    <row r="55" spans="1:5" ht="13" hidden="1" x14ac:dyDescent="0.25">
      <c r="A55" s="394"/>
      <c r="B55" s="532" t="s">
        <v>423</v>
      </c>
      <c r="C55" s="533">
        <v>2</v>
      </c>
      <c r="D55" s="528"/>
      <c r="E55" s="253"/>
    </row>
    <row r="56" spans="1:5" ht="26" hidden="1" x14ac:dyDescent="0.25">
      <c r="A56" s="394"/>
      <c r="B56" s="532" t="s">
        <v>404</v>
      </c>
      <c r="C56" s="533">
        <v>7</v>
      </c>
      <c r="D56" s="528"/>
      <c r="E56" s="253"/>
    </row>
    <row r="57" spans="1:5" ht="27.65" customHeight="1" x14ac:dyDescent="0.25">
      <c r="A57" s="373" t="s">
        <v>139</v>
      </c>
      <c r="B57" s="536" t="s">
        <v>157</v>
      </c>
      <c r="C57" s="378"/>
      <c r="D57" s="528">
        <f>SUM(D58:D64)</f>
        <v>8.4250000000000007</v>
      </c>
      <c r="E57" s="529">
        <f>SUM(E58:E64)</f>
        <v>8.31</v>
      </c>
    </row>
    <row r="58" spans="1:5" ht="39" x14ac:dyDescent="0.25">
      <c r="A58" s="394"/>
      <c r="B58" s="534" t="s">
        <v>419</v>
      </c>
      <c r="C58" s="533">
        <v>2</v>
      </c>
      <c r="D58" s="528">
        <v>5.5250000000000004</v>
      </c>
      <c r="E58" s="253">
        <v>5.45</v>
      </c>
    </row>
    <row r="59" spans="1:5" ht="39" x14ac:dyDescent="0.25">
      <c r="A59" s="394"/>
      <c r="B59" s="534" t="s">
        <v>420</v>
      </c>
      <c r="C59" s="533">
        <v>2</v>
      </c>
      <c r="D59" s="528">
        <v>2.9</v>
      </c>
      <c r="E59" s="253">
        <v>2.86</v>
      </c>
    </row>
    <row r="60" spans="1:5" ht="26" hidden="1" x14ac:dyDescent="0.25">
      <c r="A60" s="394"/>
      <c r="B60" s="532" t="s">
        <v>393</v>
      </c>
      <c r="C60" s="533">
        <v>2</v>
      </c>
      <c r="D60" s="528"/>
      <c r="E60" s="253"/>
    </row>
    <row r="61" spans="1:5" ht="26" hidden="1" x14ac:dyDescent="0.25">
      <c r="A61" s="394"/>
      <c r="B61" s="532" t="s">
        <v>392</v>
      </c>
      <c r="C61" s="533">
        <v>2</v>
      </c>
      <c r="D61" s="528"/>
      <c r="E61" s="253"/>
    </row>
    <row r="62" spans="1:5" ht="13" hidden="1" x14ac:dyDescent="0.25">
      <c r="A62" s="394"/>
      <c r="B62" s="532" t="s">
        <v>423</v>
      </c>
      <c r="C62" s="533">
        <v>2</v>
      </c>
      <c r="D62" s="528"/>
      <c r="E62" s="253"/>
    </row>
    <row r="63" spans="1:5" ht="39.65" hidden="1" customHeight="1" x14ac:dyDescent="0.25">
      <c r="A63" s="394"/>
      <c r="B63" s="532" t="s">
        <v>424</v>
      </c>
      <c r="C63" s="533">
        <v>2</v>
      </c>
      <c r="D63" s="528"/>
      <c r="E63" s="253"/>
    </row>
    <row r="64" spans="1:5" ht="26" hidden="1" x14ac:dyDescent="0.25">
      <c r="A64" s="394"/>
      <c r="B64" s="532" t="s">
        <v>404</v>
      </c>
      <c r="C64" s="533">
        <v>7</v>
      </c>
      <c r="D64" s="528"/>
      <c r="E64" s="253"/>
    </row>
    <row r="65" spans="1:5" ht="23.4" customHeight="1" x14ac:dyDescent="0.25">
      <c r="A65" s="373" t="s">
        <v>142</v>
      </c>
      <c r="B65" s="536" t="s">
        <v>156</v>
      </c>
      <c r="C65" s="378"/>
      <c r="D65" s="528">
        <f>SUM(D66:D72)</f>
        <v>6.5749999999999993</v>
      </c>
      <c r="E65" s="529">
        <f>SUM(E66:E72)</f>
        <v>6.48</v>
      </c>
    </row>
    <row r="66" spans="1:5" ht="39" x14ac:dyDescent="0.25">
      <c r="A66" s="394"/>
      <c r="B66" s="534" t="s">
        <v>419</v>
      </c>
      <c r="C66" s="533">
        <v>2</v>
      </c>
      <c r="D66" s="528">
        <v>3.9249999999999998</v>
      </c>
      <c r="E66" s="253">
        <v>3.87</v>
      </c>
    </row>
    <row r="67" spans="1:5" ht="39" x14ac:dyDescent="0.25">
      <c r="A67" s="394"/>
      <c r="B67" s="534" t="s">
        <v>420</v>
      </c>
      <c r="C67" s="533">
        <v>2</v>
      </c>
      <c r="D67" s="528">
        <v>2.65</v>
      </c>
      <c r="E67" s="253">
        <v>2.61</v>
      </c>
    </row>
    <row r="68" spans="1:5" ht="26" hidden="1" x14ac:dyDescent="0.25">
      <c r="A68" s="394"/>
      <c r="B68" s="532" t="s">
        <v>392</v>
      </c>
      <c r="C68" s="533">
        <v>2</v>
      </c>
      <c r="D68" s="528"/>
      <c r="E68" s="253"/>
    </row>
    <row r="69" spans="1:5" ht="13" hidden="1" x14ac:dyDescent="0.25">
      <c r="A69" s="394"/>
      <c r="B69" s="532" t="s">
        <v>423</v>
      </c>
      <c r="C69" s="533">
        <v>2</v>
      </c>
      <c r="D69" s="528"/>
      <c r="E69" s="253"/>
    </row>
    <row r="70" spans="1:5" ht="13" hidden="1" x14ac:dyDescent="0.25">
      <c r="A70" s="394"/>
      <c r="B70" s="532" t="s">
        <v>424</v>
      </c>
      <c r="C70" s="533">
        <v>2</v>
      </c>
      <c r="D70" s="528"/>
      <c r="E70" s="253"/>
    </row>
    <row r="71" spans="1:5" ht="26" hidden="1" x14ac:dyDescent="0.25">
      <c r="A71" s="394"/>
      <c r="B71" s="532" t="s">
        <v>404</v>
      </c>
      <c r="C71" s="533">
        <v>7</v>
      </c>
      <c r="D71" s="528"/>
      <c r="E71" s="253"/>
    </row>
    <row r="72" spans="1:5" ht="26" hidden="1" x14ac:dyDescent="0.25">
      <c r="A72" s="394"/>
      <c r="B72" s="532" t="s">
        <v>393</v>
      </c>
      <c r="C72" s="533">
        <v>10</v>
      </c>
      <c r="D72" s="528"/>
      <c r="E72" s="253"/>
    </row>
    <row r="73" spans="1:5" ht="22.25" customHeight="1" x14ac:dyDescent="0.25">
      <c r="A73" s="373" t="s">
        <v>141</v>
      </c>
      <c r="B73" s="536" t="s">
        <v>14</v>
      </c>
      <c r="C73" s="378"/>
      <c r="D73" s="528">
        <f>SUM(D74:D83)</f>
        <v>9.3000000000000007</v>
      </c>
      <c r="E73" s="529">
        <f>SUM(E74:E83)</f>
        <v>9.17</v>
      </c>
    </row>
    <row r="74" spans="1:5" ht="39" x14ac:dyDescent="0.25">
      <c r="A74" s="394"/>
      <c r="B74" s="534" t="s">
        <v>419</v>
      </c>
      <c r="C74" s="533">
        <v>2</v>
      </c>
      <c r="D74" s="528">
        <v>7</v>
      </c>
      <c r="E74" s="253">
        <v>6.9</v>
      </c>
    </row>
    <row r="75" spans="1:5" ht="39" x14ac:dyDescent="0.25">
      <c r="A75" s="394"/>
      <c r="B75" s="534" t="s">
        <v>420</v>
      </c>
      <c r="C75" s="533">
        <v>2</v>
      </c>
      <c r="D75" s="528">
        <v>2.2999999999999998</v>
      </c>
      <c r="E75" s="253">
        <v>2.27</v>
      </c>
    </row>
    <row r="76" spans="1:5" ht="39" hidden="1" x14ac:dyDescent="0.25">
      <c r="A76" s="394"/>
      <c r="B76" s="532" t="s">
        <v>418</v>
      </c>
      <c r="C76" s="533">
        <v>2</v>
      </c>
      <c r="D76" s="528"/>
      <c r="E76" s="253"/>
    </row>
    <row r="77" spans="1:5" ht="26" hidden="1" x14ac:dyDescent="0.25">
      <c r="A77" s="394"/>
      <c r="B77" s="532" t="s">
        <v>422</v>
      </c>
      <c r="C77" s="533">
        <v>2</v>
      </c>
      <c r="D77" s="528"/>
      <c r="E77" s="253"/>
    </row>
    <row r="78" spans="1:5" ht="26" hidden="1" x14ac:dyDescent="0.25">
      <c r="A78" s="394"/>
      <c r="B78" s="532" t="s">
        <v>421</v>
      </c>
      <c r="C78" s="533">
        <v>2</v>
      </c>
      <c r="D78" s="528"/>
      <c r="E78" s="253"/>
    </row>
    <row r="79" spans="1:5" ht="26" hidden="1" x14ac:dyDescent="0.25">
      <c r="A79" s="394"/>
      <c r="B79" s="532" t="s">
        <v>392</v>
      </c>
      <c r="C79" s="533">
        <v>2</v>
      </c>
      <c r="D79" s="528"/>
      <c r="E79" s="253"/>
    </row>
    <row r="80" spans="1:5" ht="13" hidden="1" x14ac:dyDescent="0.25">
      <c r="A80" s="394"/>
      <c r="B80" s="532" t="s">
        <v>423</v>
      </c>
      <c r="C80" s="533">
        <v>2</v>
      </c>
      <c r="D80" s="528"/>
      <c r="E80" s="253"/>
    </row>
    <row r="81" spans="1:5" ht="13" hidden="1" x14ac:dyDescent="0.25">
      <c r="A81" s="394"/>
      <c r="B81" s="532" t="s">
        <v>424</v>
      </c>
      <c r="C81" s="533">
        <v>2</v>
      </c>
      <c r="D81" s="528"/>
      <c r="E81" s="253"/>
    </row>
    <row r="82" spans="1:5" ht="26" hidden="1" x14ac:dyDescent="0.25">
      <c r="A82" s="394"/>
      <c r="B82" s="532" t="s">
        <v>404</v>
      </c>
      <c r="C82" s="533">
        <v>7</v>
      </c>
      <c r="D82" s="528"/>
      <c r="E82" s="253"/>
    </row>
    <row r="83" spans="1:5" ht="26" hidden="1" x14ac:dyDescent="0.25">
      <c r="A83" s="394"/>
      <c r="B83" s="532" t="s">
        <v>393</v>
      </c>
      <c r="C83" s="533">
        <v>10</v>
      </c>
      <c r="D83" s="528"/>
      <c r="E83" s="537"/>
    </row>
    <row r="84" spans="1:5" ht="25.75" customHeight="1" x14ac:dyDescent="0.25">
      <c r="A84" s="373" t="s">
        <v>140</v>
      </c>
      <c r="B84" s="536" t="s">
        <v>15</v>
      </c>
      <c r="C84" s="378"/>
      <c r="D84" s="528">
        <f>SUM(D85:D93)</f>
        <v>4.25</v>
      </c>
      <c r="E84" s="529">
        <f>SUM(E85:E93)</f>
        <v>4.1900000000000004</v>
      </c>
    </row>
    <row r="85" spans="1:5" ht="39" x14ac:dyDescent="0.25">
      <c r="A85" s="394"/>
      <c r="B85" s="534" t="s">
        <v>419</v>
      </c>
      <c r="C85" s="533">
        <v>2</v>
      </c>
      <c r="D85" s="528">
        <v>2.25</v>
      </c>
      <c r="E85" s="253">
        <v>2.2200000000000002</v>
      </c>
    </row>
    <row r="86" spans="1:5" ht="39" x14ac:dyDescent="0.25">
      <c r="A86" s="394"/>
      <c r="B86" s="534" t="s">
        <v>420</v>
      </c>
      <c r="C86" s="533">
        <v>2</v>
      </c>
      <c r="D86" s="528">
        <v>2</v>
      </c>
      <c r="E86" s="253">
        <v>1.97</v>
      </c>
    </row>
    <row r="87" spans="1:5" ht="39" hidden="1" x14ac:dyDescent="0.25">
      <c r="A87" s="394"/>
      <c r="B87" s="532" t="s">
        <v>418</v>
      </c>
      <c r="C87" s="533">
        <v>2</v>
      </c>
      <c r="D87" s="528"/>
      <c r="E87" s="253"/>
    </row>
    <row r="88" spans="1:5" ht="26" hidden="1" x14ac:dyDescent="0.25">
      <c r="A88" s="394"/>
      <c r="B88" s="532" t="s">
        <v>425</v>
      </c>
      <c r="C88" s="533">
        <v>2</v>
      </c>
      <c r="D88" s="528"/>
      <c r="E88" s="253"/>
    </row>
    <row r="89" spans="1:5" ht="26" hidden="1" x14ac:dyDescent="0.25">
      <c r="A89" s="394"/>
      <c r="B89" s="532" t="s">
        <v>392</v>
      </c>
      <c r="C89" s="533">
        <v>2</v>
      </c>
      <c r="D89" s="528"/>
      <c r="E89" s="253"/>
    </row>
    <row r="90" spans="1:5" ht="13" hidden="1" x14ac:dyDescent="0.25">
      <c r="A90" s="394"/>
      <c r="B90" s="532" t="s">
        <v>423</v>
      </c>
      <c r="C90" s="533">
        <v>2</v>
      </c>
      <c r="D90" s="528"/>
      <c r="E90" s="253"/>
    </row>
    <row r="91" spans="1:5" ht="13" hidden="1" x14ac:dyDescent="0.25">
      <c r="A91" s="394"/>
      <c r="B91" s="532" t="s">
        <v>424</v>
      </c>
      <c r="C91" s="533">
        <v>2</v>
      </c>
      <c r="D91" s="528"/>
      <c r="E91" s="253"/>
    </row>
    <row r="92" spans="1:5" ht="26" hidden="1" x14ac:dyDescent="0.25">
      <c r="A92" s="394"/>
      <c r="B92" s="532" t="s">
        <v>404</v>
      </c>
      <c r="C92" s="533">
        <v>7</v>
      </c>
      <c r="D92" s="528"/>
      <c r="E92" s="253"/>
    </row>
    <row r="93" spans="1:5" ht="26" hidden="1" x14ac:dyDescent="0.25">
      <c r="A93" s="394"/>
      <c r="B93" s="532" t="s">
        <v>393</v>
      </c>
      <c r="C93" s="533">
        <v>10</v>
      </c>
      <c r="D93" s="528"/>
      <c r="E93" s="253"/>
    </row>
    <row r="94" spans="1:5" ht="25.75" customHeight="1" x14ac:dyDescent="0.25">
      <c r="A94" s="373" t="s">
        <v>99</v>
      </c>
      <c r="B94" s="536" t="s">
        <v>10</v>
      </c>
      <c r="C94" s="378"/>
      <c r="D94" s="528">
        <f>SUM(D95:D99)</f>
        <v>15.7</v>
      </c>
      <c r="E94" s="529">
        <f>SUM(E95:E99)</f>
        <v>15.47</v>
      </c>
    </row>
    <row r="95" spans="1:5" ht="39" hidden="1" x14ac:dyDescent="0.25">
      <c r="A95" s="394"/>
      <c r="B95" s="532" t="s">
        <v>418</v>
      </c>
      <c r="C95" s="533">
        <v>2</v>
      </c>
      <c r="D95" s="528"/>
      <c r="E95" s="253"/>
    </row>
    <row r="96" spans="1:5" ht="39" x14ac:dyDescent="0.25">
      <c r="A96" s="394"/>
      <c r="B96" s="534" t="s">
        <v>419</v>
      </c>
      <c r="C96" s="533">
        <v>2</v>
      </c>
      <c r="D96" s="528">
        <v>14.35</v>
      </c>
      <c r="E96" s="253">
        <v>14.14</v>
      </c>
    </row>
    <row r="97" spans="1:5" ht="39" x14ac:dyDescent="0.25">
      <c r="A97" s="394"/>
      <c r="B97" s="534" t="s">
        <v>420</v>
      </c>
      <c r="C97" s="533">
        <v>2</v>
      </c>
      <c r="D97" s="528">
        <v>1.35</v>
      </c>
      <c r="E97" s="253">
        <v>1.33</v>
      </c>
    </row>
    <row r="98" spans="1:5" ht="24.65" hidden="1" customHeight="1" x14ac:dyDescent="0.25">
      <c r="A98" s="394"/>
      <c r="B98" s="532" t="s">
        <v>392</v>
      </c>
      <c r="C98" s="533">
        <v>2</v>
      </c>
      <c r="D98" s="528"/>
      <c r="E98" s="253"/>
    </row>
    <row r="99" spans="1:5" ht="26" hidden="1" x14ac:dyDescent="0.25">
      <c r="A99" s="394"/>
      <c r="B99" s="532" t="s">
        <v>404</v>
      </c>
      <c r="C99" s="533">
        <v>7</v>
      </c>
      <c r="D99" s="528"/>
      <c r="E99" s="253"/>
    </row>
    <row r="100" spans="1:5" ht="21.65" customHeight="1" x14ac:dyDescent="0.25">
      <c r="A100" s="373" t="s">
        <v>100</v>
      </c>
      <c r="B100" s="536" t="s">
        <v>13</v>
      </c>
      <c r="C100" s="378"/>
      <c r="D100" s="528">
        <f>SUM(D101:D105)</f>
        <v>15.79</v>
      </c>
      <c r="E100" s="529">
        <f>SUM(E101:E105)</f>
        <v>15.56</v>
      </c>
    </row>
    <row r="101" spans="1:5" ht="39" hidden="1" x14ac:dyDescent="0.25">
      <c r="A101" s="394"/>
      <c r="B101" s="532" t="s">
        <v>418</v>
      </c>
      <c r="C101" s="533">
        <v>2</v>
      </c>
      <c r="D101" s="528"/>
      <c r="E101" s="253"/>
    </row>
    <row r="102" spans="1:5" ht="39" x14ac:dyDescent="0.25">
      <c r="A102" s="394"/>
      <c r="B102" s="534" t="s">
        <v>419</v>
      </c>
      <c r="C102" s="533">
        <v>2</v>
      </c>
      <c r="D102" s="528">
        <v>15.79</v>
      </c>
      <c r="E102" s="253">
        <v>15.56</v>
      </c>
    </row>
    <row r="103" spans="1:5" ht="26" hidden="1" x14ac:dyDescent="0.25">
      <c r="A103" s="394"/>
      <c r="B103" s="532" t="s">
        <v>392</v>
      </c>
      <c r="C103" s="533">
        <v>2</v>
      </c>
      <c r="D103" s="528"/>
      <c r="E103" s="253"/>
    </row>
    <row r="104" spans="1:5" ht="26" hidden="1" x14ac:dyDescent="0.25">
      <c r="A104" s="394"/>
      <c r="B104" s="532" t="s">
        <v>404</v>
      </c>
      <c r="C104" s="533">
        <v>7</v>
      </c>
      <c r="D104" s="528"/>
      <c r="E104" s="253"/>
    </row>
    <row r="105" spans="1:5" ht="26" hidden="1" x14ac:dyDescent="0.25">
      <c r="A105" s="394"/>
      <c r="B105" s="532" t="s">
        <v>393</v>
      </c>
      <c r="C105" s="533">
        <v>10</v>
      </c>
      <c r="D105" s="528"/>
      <c r="E105" s="253"/>
    </row>
    <row r="106" spans="1:5" ht="26.4" customHeight="1" x14ac:dyDescent="0.25">
      <c r="A106" s="373" t="s">
        <v>162</v>
      </c>
      <c r="B106" s="536" t="s">
        <v>11</v>
      </c>
      <c r="C106" s="378"/>
      <c r="D106" s="528">
        <f>SUM(D107:D109)</f>
        <v>11.69</v>
      </c>
      <c r="E106" s="529">
        <f>SUM(E107:E109)</f>
        <v>11.53</v>
      </c>
    </row>
    <row r="107" spans="1:5" ht="39" x14ac:dyDescent="0.25">
      <c r="A107" s="394"/>
      <c r="B107" s="534" t="s">
        <v>419</v>
      </c>
      <c r="C107" s="533">
        <v>2</v>
      </c>
      <c r="D107" s="528">
        <v>11.69</v>
      </c>
      <c r="E107" s="253">
        <v>11.53</v>
      </c>
    </row>
    <row r="108" spans="1:5" ht="26" hidden="1" x14ac:dyDescent="0.25">
      <c r="A108" s="394"/>
      <c r="B108" s="532" t="s">
        <v>392</v>
      </c>
      <c r="C108" s="533">
        <v>2</v>
      </c>
      <c r="D108" s="528"/>
      <c r="E108" s="253"/>
    </row>
    <row r="109" spans="1:5" ht="26" hidden="1" x14ac:dyDescent="0.25">
      <c r="A109" s="394"/>
      <c r="B109" s="532" t="s">
        <v>404</v>
      </c>
      <c r="C109" s="533">
        <v>7</v>
      </c>
      <c r="D109" s="528"/>
      <c r="E109" s="253"/>
    </row>
    <row r="110" spans="1:5" ht="24" customHeight="1" x14ac:dyDescent="0.25">
      <c r="A110" s="373" t="s">
        <v>101</v>
      </c>
      <c r="B110" s="536" t="s">
        <v>12</v>
      </c>
      <c r="C110" s="378"/>
      <c r="D110" s="528">
        <f>SUM(D111:D113)</f>
        <v>15.36</v>
      </c>
      <c r="E110" s="529">
        <f>SUM(E111:E113)</f>
        <v>15.14</v>
      </c>
    </row>
    <row r="111" spans="1:5" ht="39" x14ac:dyDescent="0.25">
      <c r="A111" s="394"/>
      <c r="B111" s="534" t="s">
        <v>419</v>
      </c>
      <c r="C111" s="533">
        <v>2</v>
      </c>
      <c r="D111" s="528">
        <v>15.36</v>
      </c>
      <c r="E111" s="253">
        <v>15.14</v>
      </c>
    </row>
    <row r="112" spans="1:5" ht="26" hidden="1" x14ac:dyDescent="0.25">
      <c r="A112" s="394"/>
      <c r="B112" s="532" t="s">
        <v>392</v>
      </c>
      <c r="C112" s="533">
        <v>2</v>
      </c>
      <c r="D112" s="528"/>
      <c r="E112" s="253"/>
    </row>
    <row r="113" spans="1:5" ht="26" hidden="1" x14ac:dyDescent="0.25">
      <c r="A113" s="394"/>
      <c r="B113" s="532" t="s">
        <v>404</v>
      </c>
      <c r="C113" s="533">
        <v>7</v>
      </c>
      <c r="D113" s="528"/>
      <c r="E113" s="253"/>
    </row>
    <row r="114" spans="1:5" ht="27.65" customHeight="1" x14ac:dyDescent="0.25">
      <c r="A114" s="394" t="s">
        <v>102</v>
      </c>
      <c r="B114" s="536" t="s">
        <v>9</v>
      </c>
      <c r="C114" s="378"/>
      <c r="D114" s="528">
        <f>SUM(D115:D117)</f>
        <v>16.260000000000002</v>
      </c>
      <c r="E114" s="529">
        <f>SUM(E115:E117)</f>
        <v>16.03</v>
      </c>
    </row>
    <row r="115" spans="1:5" ht="26" hidden="1" x14ac:dyDescent="0.25">
      <c r="A115" s="394"/>
      <c r="B115" s="532" t="s">
        <v>392</v>
      </c>
      <c r="C115" s="533">
        <v>2</v>
      </c>
      <c r="D115" s="528"/>
      <c r="E115" s="253"/>
    </row>
    <row r="116" spans="1:5" ht="39" x14ac:dyDescent="0.25">
      <c r="A116" s="394"/>
      <c r="B116" s="534" t="s">
        <v>419</v>
      </c>
      <c r="C116" s="533">
        <v>2</v>
      </c>
      <c r="D116" s="528">
        <v>16.260000000000002</v>
      </c>
      <c r="E116" s="253">
        <v>16.03</v>
      </c>
    </row>
    <row r="117" spans="1:5" ht="26" hidden="1" x14ac:dyDescent="0.25">
      <c r="A117" s="394"/>
      <c r="B117" s="532" t="s">
        <v>404</v>
      </c>
      <c r="C117" s="533">
        <v>7</v>
      </c>
      <c r="D117" s="528"/>
      <c r="E117" s="253"/>
    </row>
    <row r="118" spans="1:5" ht="26.4" customHeight="1" x14ac:dyDescent="0.25">
      <c r="A118" s="394" t="s">
        <v>103</v>
      </c>
      <c r="B118" s="538" t="s">
        <v>243</v>
      </c>
      <c r="C118" s="378"/>
      <c r="D118" s="528">
        <f>SUM(D119:D123)</f>
        <v>87.38000000000001</v>
      </c>
      <c r="E118" s="529">
        <f>SUM(E119:E123)</f>
        <v>86.13</v>
      </c>
    </row>
    <row r="119" spans="1:5" ht="26" hidden="1" x14ac:dyDescent="0.25">
      <c r="A119" s="394"/>
      <c r="B119" s="539" t="s">
        <v>425</v>
      </c>
      <c r="C119" s="533">
        <v>2</v>
      </c>
      <c r="D119" s="528"/>
      <c r="E119" s="253"/>
    </row>
    <row r="120" spans="1:5" ht="26" hidden="1" x14ac:dyDescent="0.25">
      <c r="A120" s="394"/>
      <c r="B120" s="532" t="s">
        <v>426</v>
      </c>
      <c r="C120" s="533">
        <v>2</v>
      </c>
      <c r="D120" s="528"/>
      <c r="E120" s="253"/>
    </row>
    <row r="121" spans="1:5" ht="39" x14ac:dyDescent="0.25">
      <c r="A121" s="394"/>
      <c r="B121" s="534" t="s">
        <v>420</v>
      </c>
      <c r="C121" s="533">
        <v>2</v>
      </c>
      <c r="D121" s="528">
        <v>0.9</v>
      </c>
      <c r="E121" s="253">
        <v>0.89</v>
      </c>
    </row>
    <row r="122" spans="1:5" ht="39" x14ac:dyDescent="0.25">
      <c r="A122" s="394"/>
      <c r="B122" s="534" t="s">
        <v>419</v>
      </c>
      <c r="C122" s="533">
        <v>2</v>
      </c>
      <c r="D122" s="528">
        <v>86.48</v>
      </c>
      <c r="E122" s="253">
        <v>85.24</v>
      </c>
    </row>
    <row r="123" spans="1:5" ht="26" hidden="1" x14ac:dyDescent="0.25">
      <c r="A123" s="394"/>
      <c r="B123" s="532" t="s">
        <v>393</v>
      </c>
      <c r="C123" s="533">
        <v>10</v>
      </c>
      <c r="D123" s="528"/>
      <c r="E123" s="253"/>
    </row>
    <row r="124" spans="1:5" ht="22.75" customHeight="1" x14ac:dyDescent="0.25">
      <c r="A124" s="394" t="s">
        <v>104</v>
      </c>
      <c r="B124" s="540" t="s">
        <v>158</v>
      </c>
      <c r="C124" s="378"/>
      <c r="D124" s="528">
        <f>SUM(D125:D127)</f>
        <v>19.97</v>
      </c>
      <c r="E124" s="529">
        <f>SUM(E125:E127)</f>
        <v>19.690000000000001</v>
      </c>
    </row>
    <row r="125" spans="1:5" ht="43.75" customHeight="1" x14ac:dyDescent="0.25">
      <c r="A125" s="394"/>
      <c r="B125" s="534" t="s">
        <v>419</v>
      </c>
      <c r="C125" s="533">
        <v>2</v>
      </c>
      <c r="D125" s="528">
        <v>19.97</v>
      </c>
      <c r="E125" s="253">
        <v>19.690000000000001</v>
      </c>
    </row>
    <row r="126" spans="1:5" ht="38.4" hidden="1" customHeight="1" x14ac:dyDescent="0.25">
      <c r="A126" s="394"/>
      <c r="B126" s="532" t="s">
        <v>427</v>
      </c>
      <c r="C126" s="533">
        <v>7</v>
      </c>
      <c r="D126" s="528"/>
      <c r="E126" s="253"/>
    </row>
    <row r="127" spans="1:5" ht="30" hidden="1" customHeight="1" x14ac:dyDescent="0.25">
      <c r="A127" s="394"/>
      <c r="B127" s="532" t="s">
        <v>393</v>
      </c>
      <c r="C127" s="533">
        <v>10</v>
      </c>
      <c r="D127" s="528"/>
      <c r="E127" s="253"/>
    </row>
    <row r="128" spans="1:5" ht="21.65" customHeight="1" x14ac:dyDescent="0.25">
      <c r="A128" s="394" t="s">
        <v>105</v>
      </c>
      <c r="B128" s="540" t="s">
        <v>151</v>
      </c>
      <c r="C128" s="378"/>
      <c r="D128" s="528">
        <f>SUM(D129,D130)</f>
        <v>4</v>
      </c>
      <c r="E128" s="528">
        <f>SUM(E129,E130)</f>
        <v>3.94</v>
      </c>
    </row>
    <row r="129" spans="1:5" ht="26" hidden="1" x14ac:dyDescent="0.25">
      <c r="A129" s="394"/>
      <c r="B129" s="532" t="s">
        <v>404</v>
      </c>
      <c r="C129" s="533">
        <v>7</v>
      </c>
      <c r="D129" s="528"/>
      <c r="E129" s="253"/>
    </row>
    <row r="130" spans="1:5" ht="39" x14ac:dyDescent="0.25">
      <c r="A130" s="394"/>
      <c r="B130" s="534" t="s">
        <v>420</v>
      </c>
      <c r="C130" s="533">
        <v>9</v>
      </c>
      <c r="D130" s="528">
        <v>4</v>
      </c>
      <c r="E130" s="253">
        <v>3.94</v>
      </c>
    </row>
    <row r="131" spans="1:5" ht="25.75" customHeight="1" x14ac:dyDescent="0.25">
      <c r="A131" s="373" t="s">
        <v>106</v>
      </c>
      <c r="B131" s="339" t="s">
        <v>19</v>
      </c>
      <c r="C131" s="378"/>
      <c r="D131" s="528">
        <f>SUM(D132:D137)</f>
        <v>37.975999999999999</v>
      </c>
      <c r="E131" s="529">
        <f>SUM(E132:E137)</f>
        <v>15.28</v>
      </c>
    </row>
    <row r="132" spans="1:5" ht="39.65" customHeight="1" x14ac:dyDescent="0.25">
      <c r="A132" s="394"/>
      <c r="B132" s="534" t="s">
        <v>428</v>
      </c>
      <c r="C132" s="533">
        <v>4</v>
      </c>
      <c r="D132" s="528">
        <v>22.475999999999999</v>
      </c>
      <c r="E132" s="253"/>
    </row>
    <row r="133" spans="1:5" ht="39" x14ac:dyDescent="0.25">
      <c r="A133" s="394"/>
      <c r="B133" s="534" t="s">
        <v>420</v>
      </c>
      <c r="C133" s="533">
        <v>4</v>
      </c>
      <c r="D133" s="528">
        <v>15.5</v>
      </c>
      <c r="E133" s="253">
        <v>15.28</v>
      </c>
    </row>
    <row r="134" spans="1:5" ht="27" hidden="1" customHeight="1" x14ac:dyDescent="0.25">
      <c r="A134" s="394"/>
      <c r="B134" s="541" t="s">
        <v>429</v>
      </c>
      <c r="C134" s="533">
        <v>4</v>
      </c>
      <c r="D134" s="528"/>
      <c r="E134" s="253"/>
    </row>
    <row r="135" spans="1:5" ht="26" hidden="1" x14ac:dyDescent="0.25">
      <c r="A135" s="394"/>
      <c r="B135" s="532" t="s">
        <v>393</v>
      </c>
      <c r="C135" s="533">
        <v>4</v>
      </c>
      <c r="D135" s="528"/>
      <c r="E135" s="253"/>
    </row>
    <row r="136" spans="1:5" ht="26" hidden="1" x14ac:dyDescent="0.25">
      <c r="A136" s="394"/>
      <c r="B136" s="532" t="s">
        <v>404</v>
      </c>
      <c r="C136" s="533">
        <v>7</v>
      </c>
      <c r="D136" s="528"/>
      <c r="E136" s="253"/>
    </row>
    <row r="137" spans="1:5" ht="26" hidden="1" x14ac:dyDescent="0.25">
      <c r="A137" s="394"/>
      <c r="B137" s="532" t="s">
        <v>393</v>
      </c>
      <c r="C137" s="533">
        <v>10</v>
      </c>
      <c r="D137" s="528"/>
      <c r="E137" s="253"/>
    </row>
    <row r="138" spans="1:5" ht="21.65" customHeight="1" x14ac:dyDescent="0.25">
      <c r="A138" s="373" t="s">
        <v>107</v>
      </c>
      <c r="B138" s="538" t="s">
        <v>18</v>
      </c>
      <c r="C138" s="378"/>
      <c r="D138" s="528">
        <f>SUM(D139:D143)</f>
        <v>10.9</v>
      </c>
      <c r="E138" s="529">
        <f>SUM(E139:E143)</f>
        <v>10.75</v>
      </c>
    </row>
    <row r="139" spans="1:5" ht="26" hidden="1" x14ac:dyDescent="0.25">
      <c r="A139" s="530"/>
      <c r="B139" s="542" t="s">
        <v>430</v>
      </c>
      <c r="C139" s="543">
        <v>2</v>
      </c>
      <c r="D139" s="544"/>
      <c r="E139" s="545"/>
    </row>
    <row r="140" spans="1:5" ht="13" hidden="1" x14ac:dyDescent="0.25">
      <c r="A140" s="530"/>
      <c r="B140" s="541" t="s">
        <v>431</v>
      </c>
      <c r="C140" s="543">
        <v>4</v>
      </c>
      <c r="D140" s="528"/>
      <c r="E140" s="253"/>
    </row>
    <row r="141" spans="1:5" ht="39" x14ac:dyDescent="0.25">
      <c r="A141" s="394"/>
      <c r="B141" s="534" t="s">
        <v>420</v>
      </c>
      <c r="C141" s="533">
        <v>4</v>
      </c>
      <c r="D141" s="528">
        <v>10.9</v>
      </c>
      <c r="E141" s="253">
        <v>10.75</v>
      </c>
    </row>
    <row r="142" spans="1:5" ht="26" hidden="1" x14ac:dyDescent="0.25">
      <c r="A142" s="530"/>
      <c r="B142" s="532" t="s">
        <v>404</v>
      </c>
      <c r="C142" s="533">
        <v>7</v>
      </c>
      <c r="D142" s="528"/>
      <c r="E142" s="253"/>
    </row>
    <row r="143" spans="1:5" ht="26" hidden="1" x14ac:dyDescent="0.25">
      <c r="A143" s="546"/>
      <c r="B143" s="532" t="s">
        <v>393</v>
      </c>
      <c r="C143" s="543">
        <v>10</v>
      </c>
      <c r="D143" s="528"/>
      <c r="E143" s="402"/>
    </row>
    <row r="144" spans="1:5" ht="24.65" customHeight="1" x14ac:dyDescent="0.25">
      <c r="A144" s="373" t="s">
        <v>109</v>
      </c>
      <c r="B144" s="538" t="s">
        <v>16</v>
      </c>
      <c r="C144" s="380"/>
      <c r="D144" s="528">
        <f>SUM(D145:D152)</f>
        <v>126.41199999999999</v>
      </c>
      <c r="E144" s="529">
        <f>SUM(E145:E152)</f>
        <v>54.84</v>
      </c>
    </row>
    <row r="145" spans="1:7" ht="26" hidden="1" x14ac:dyDescent="0.25">
      <c r="A145" s="530"/>
      <c r="B145" s="532" t="s">
        <v>425</v>
      </c>
      <c r="C145" s="547">
        <v>2</v>
      </c>
      <c r="D145" s="528"/>
      <c r="E145" s="545"/>
    </row>
    <row r="146" spans="1:7" ht="26" x14ac:dyDescent="0.25">
      <c r="A146" s="546"/>
      <c r="B146" s="532" t="s">
        <v>432</v>
      </c>
      <c r="C146" s="543">
        <v>6</v>
      </c>
      <c r="D146" s="528">
        <v>7.7</v>
      </c>
      <c r="E146" s="253">
        <v>7.59</v>
      </c>
    </row>
    <row r="147" spans="1:7" ht="39" x14ac:dyDescent="0.25">
      <c r="A147" s="394"/>
      <c r="B147" s="534" t="s">
        <v>420</v>
      </c>
      <c r="C147" s="533">
        <v>6</v>
      </c>
      <c r="D147" s="528">
        <v>31.2</v>
      </c>
      <c r="E147" s="253">
        <v>30.75</v>
      </c>
    </row>
    <row r="148" spans="1:7" ht="39" hidden="1" x14ac:dyDescent="0.25">
      <c r="A148" s="546"/>
      <c r="B148" s="532" t="s">
        <v>433</v>
      </c>
      <c r="C148" s="533">
        <v>6</v>
      </c>
      <c r="D148" s="528"/>
      <c r="E148" s="253"/>
    </row>
    <row r="149" spans="1:7" ht="26" x14ac:dyDescent="0.25">
      <c r="A149" s="546"/>
      <c r="B149" s="532" t="s">
        <v>434</v>
      </c>
      <c r="C149" s="533">
        <v>6</v>
      </c>
      <c r="D149" s="528">
        <v>16.739000000000001</v>
      </c>
      <c r="E149" s="253">
        <v>16.5</v>
      </c>
    </row>
    <row r="150" spans="1:7" ht="26" x14ac:dyDescent="0.25">
      <c r="A150" s="546"/>
      <c r="B150" s="534" t="s">
        <v>435</v>
      </c>
      <c r="C150" s="533">
        <v>6</v>
      </c>
      <c r="D150" s="528">
        <v>70.772999999999996</v>
      </c>
      <c r="E150" s="548"/>
      <c r="F150" s="549"/>
      <c r="G150" s="549"/>
    </row>
    <row r="151" spans="1:7" ht="26" hidden="1" x14ac:dyDescent="0.25">
      <c r="A151" s="394"/>
      <c r="B151" s="532" t="s">
        <v>404</v>
      </c>
      <c r="C151" s="533">
        <v>7</v>
      </c>
      <c r="D151" s="528"/>
      <c r="E151" s="253"/>
    </row>
    <row r="152" spans="1:7" ht="26" hidden="1" x14ac:dyDescent="0.25">
      <c r="A152" s="394"/>
      <c r="B152" s="532" t="s">
        <v>393</v>
      </c>
      <c r="C152" s="533">
        <v>10</v>
      </c>
      <c r="D152" s="528"/>
      <c r="E152" s="253"/>
    </row>
    <row r="153" spans="1:7" ht="26.4" customHeight="1" x14ac:dyDescent="0.25">
      <c r="A153" s="373" t="s">
        <v>110</v>
      </c>
      <c r="B153" s="538" t="s">
        <v>155</v>
      </c>
      <c r="C153" s="380"/>
      <c r="D153" s="528">
        <f>SUM(D154:D158)</f>
        <v>28</v>
      </c>
      <c r="E153" s="529">
        <f>SUM(E154:E158)</f>
        <v>27.6</v>
      </c>
    </row>
    <row r="154" spans="1:7" ht="26" hidden="1" x14ac:dyDescent="0.25">
      <c r="A154" s="624"/>
      <c r="B154" s="532" t="s">
        <v>425</v>
      </c>
      <c r="C154" s="543">
        <v>2</v>
      </c>
      <c r="D154" s="528"/>
      <c r="E154" s="253"/>
    </row>
    <row r="155" spans="1:7" ht="39" hidden="1" x14ac:dyDescent="0.25">
      <c r="A155" s="625"/>
      <c r="B155" s="532" t="s">
        <v>433</v>
      </c>
      <c r="C155" s="543">
        <v>6</v>
      </c>
      <c r="D155" s="528"/>
      <c r="E155" s="253"/>
    </row>
    <row r="156" spans="1:7" ht="26" x14ac:dyDescent="0.25">
      <c r="A156" s="625"/>
      <c r="B156" s="532" t="s">
        <v>432</v>
      </c>
      <c r="C156" s="543">
        <v>6</v>
      </c>
      <c r="D156" s="528">
        <v>15.4</v>
      </c>
      <c r="E156" s="253">
        <v>15.18</v>
      </c>
    </row>
    <row r="157" spans="1:7" ht="39.5" thickBot="1" x14ac:dyDescent="0.3">
      <c r="A157" s="625"/>
      <c r="B157" s="534" t="s">
        <v>420</v>
      </c>
      <c r="C157" s="533">
        <v>6</v>
      </c>
      <c r="D157" s="528">
        <v>12.6</v>
      </c>
      <c r="E157" s="253">
        <v>12.42</v>
      </c>
    </row>
    <row r="158" spans="1:7" ht="39.5" hidden="1" thickBot="1" x14ac:dyDescent="0.3">
      <c r="A158" s="626"/>
      <c r="B158" s="532" t="s">
        <v>427</v>
      </c>
      <c r="C158" s="533">
        <v>7</v>
      </c>
      <c r="D158" s="528"/>
      <c r="E158" s="253"/>
    </row>
    <row r="159" spans="1:7" ht="25.25" hidden="1" customHeight="1" x14ac:dyDescent="0.25">
      <c r="A159" s="373" t="s">
        <v>111</v>
      </c>
      <c r="B159" s="538" t="s">
        <v>3</v>
      </c>
      <c r="C159" s="380">
        <v>1</v>
      </c>
      <c r="D159" s="528">
        <f>D160</f>
        <v>0</v>
      </c>
      <c r="E159" s="343">
        <f>E160</f>
        <v>0</v>
      </c>
    </row>
    <row r="160" spans="1:7" ht="26.5" hidden="1" thickBot="1" x14ac:dyDescent="0.3">
      <c r="A160" s="530"/>
      <c r="B160" s="532" t="s">
        <v>404</v>
      </c>
      <c r="C160" s="547">
        <v>1</v>
      </c>
      <c r="D160" s="528"/>
      <c r="E160" s="550"/>
    </row>
    <row r="161" spans="1:5" ht="15.5" thickBot="1" x14ac:dyDescent="0.35">
      <c r="A161" s="403"/>
      <c r="B161" s="551" t="s">
        <v>379</v>
      </c>
      <c r="C161" s="552"/>
      <c r="D161" s="406">
        <f>SUM(D13,D73,D138,D47,D57,D65,D84,D144,D153,D124,D110,D106,D100,D94,D131,D128,D114,D118,D159)</f>
        <v>2181.8780000000002</v>
      </c>
      <c r="E161" s="553">
        <f>SUM(E13,E73,E138,E47,E57,E65,E84,E144,E153,E124,E110,E106,E100,E94,E131,E128,E114,E118)</f>
        <v>414.34999999999991</v>
      </c>
    </row>
    <row r="162" spans="1:5" ht="13" x14ac:dyDescent="0.3">
      <c r="A162" s="627"/>
      <c r="B162" s="554" t="s">
        <v>2</v>
      </c>
      <c r="C162" s="555"/>
      <c r="D162" s="556"/>
      <c r="E162" s="557"/>
    </row>
    <row r="163" spans="1:5" ht="13" hidden="1" x14ac:dyDescent="0.3">
      <c r="A163" s="627"/>
      <c r="B163" s="558" t="s">
        <v>380</v>
      </c>
      <c r="C163" s="559"/>
      <c r="D163" s="217">
        <f>D15+D160</f>
        <v>0</v>
      </c>
      <c r="E163" s="253">
        <f>E15</f>
        <v>0</v>
      </c>
    </row>
    <row r="164" spans="1:5" ht="13" x14ac:dyDescent="0.3">
      <c r="A164" s="627"/>
      <c r="B164" s="558" t="s">
        <v>381</v>
      </c>
      <c r="C164" s="559"/>
      <c r="D164" s="217">
        <f>SUM(D16,D17,D18,D48:D49,D51,D52,D53,D54,D58,D60,D61,D66,D68,D74:D76,D77,D78,D79,D81,D85:D87,D88,D89,D95:D98,D101:D103,D108,D112,D115,D119,D120,D122,D145,D154,D55,D62,D69,D80,D90,D107,D111,D116,D139,D125,D121,D67,D59,D50)</f>
        <v>323.2999999999999</v>
      </c>
      <c r="E164" s="537">
        <f>SUM(E16,E17,E18,E48:E49,E51,E52,E53,E54,E58,E60,E61,E66,E68,E74:E76,E77,E78,E79,E81,E85:E87,E88,E89,E95:E98,E101:E103,E108,E112,E115,E119,E120,E122,E145,E154,E55,E62,E69,E80,E90,E107,E111,E116,E139,E125,E121,E67,E59,E50)</f>
        <v>300.25000000000011</v>
      </c>
    </row>
    <row r="165" spans="1:5" ht="13" hidden="1" x14ac:dyDescent="0.3">
      <c r="A165" s="627"/>
      <c r="B165" s="558" t="s">
        <v>382</v>
      </c>
      <c r="C165" s="559"/>
      <c r="D165" s="217">
        <f>D19</f>
        <v>0</v>
      </c>
      <c r="E165" s="537">
        <f>E19</f>
        <v>0</v>
      </c>
    </row>
    <row r="166" spans="1:5" ht="13" x14ac:dyDescent="0.3">
      <c r="A166" s="627"/>
      <c r="B166" s="558" t="s">
        <v>436</v>
      </c>
      <c r="C166" s="559"/>
      <c r="D166" s="217">
        <f>D140+D134+D132+D135+D20+D133+D141</f>
        <v>48.875999999999998</v>
      </c>
      <c r="E166" s="537">
        <f>E140+E134+E132+E135+E20+E133+E141</f>
        <v>26.03</v>
      </c>
    </row>
    <row r="167" spans="1:5" ht="13" hidden="1" x14ac:dyDescent="0.3">
      <c r="A167" s="627"/>
      <c r="B167" s="558" t="s">
        <v>437</v>
      </c>
      <c r="C167" s="559"/>
      <c r="D167" s="217">
        <f>D21</f>
        <v>0</v>
      </c>
      <c r="E167" s="537">
        <f>E21</f>
        <v>0</v>
      </c>
    </row>
    <row r="168" spans="1:5" ht="13" x14ac:dyDescent="0.3">
      <c r="A168" s="627"/>
      <c r="B168" s="558" t="s">
        <v>383</v>
      </c>
      <c r="C168" s="559"/>
      <c r="D168" s="217">
        <f>D146+D156+D23+D22+D24+D149+D150+D155+D148+D157+D147</f>
        <v>311.92700000000002</v>
      </c>
      <c r="E168" s="537">
        <f>E146+E156+E23+E22+E24+E149+E150+E155+E148+E157+E147</f>
        <v>84.13</v>
      </c>
    </row>
    <row r="169" spans="1:5" ht="12.65" hidden="1" customHeight="1" x14ac:dyDescent="0.3">
      <c r="A169" s="627"/>
      <c r="B169" s="558" t="s">
        <v>384</v>
      </c>
      <c r="C169" s="559"/>
      <c r="D169" s="528">
        <f>D158+D151+D142+D136+D129+D126+D113+D109+D104+D99+D92+D82+D71+D64+D56+D31+D26+D25+D117+D27+D28+D29+D30</f>
        <v>0</v>
      </c>
      <c r="E169" s="537">
        <f>E158+E151+E142+E136+E129+E126+E113+E109+E104+E99+E92+E82+E71+E64+E56+E31+E26+E25+E117+E27+E28+E29</f>
        <v>0</v>
      </c>
    </row>
    <row r="170" spans="1:5" ht="13" x14ac:dyDescent="0.3">
      <c r="A170" s="627"/>
      <c r="B170" s="558" t="s">
        <v>438</v>
      </c>
      <c r="C170" s="559"/>
      <c r="D170" s="217">
        <f>D32</f>
        <v>46.908000000000001</v>
      </c>
      <c r="E170" s="253">
        <f>E32</f>
        <v>0</v>
      </c>
    </row>
    <row r="171" spans="1:5" ht="13" x14ac:dyDescent="0.3">
      <c r="A171" s="627"/>
      <c r="B171" s="558" t="s">
        <v>385</v>
      </c>
      <c r="C171" s="560"/>
      <c r="D171" s="217">
        <f>SUM(D33:D38,D130)</f>
        <v>36.173999999999999</v>
      </c>
      <c r="E171" s="253">
        <f>SUM(E33:E38,E130)</f>
        <v>3.94</v>
      </c>
    </row>
    <row r="172" spans="1:5" ht="13.5" thickBot="1" x14ac:dyDescent="0.35">
      <c r="A172" s="628"/>
      <c r="B172" s="561" t="s">
        <v>439</v>
      </c>
      <c r="C172" s="562"/>
      <c r="D172" s="563">
        <f>D143+D43+D46+D42+D44+D152+D137+D127+D123+D83+D72+D41+D40+D39+D105+D93+D45</f>
        <v>1414.6930000000002</v>
      </c>
      <c r="E172" s="564">
        <f>E143+E43+E46+E42+E44+E152+E137+E127+E123+E83+E72+E41+E40+E39+E105+E93+E45</f>
        <v>0</v>
      </c>
    </row>
  </sheetData>
  <mergeCells count="10">
    <mergeCell ref="A15:A46"/>
    <mergeCell ref="A154:A158"/>
    <mergeCell ref="A162:A172"/>
    <mergeCell ref="A7:E7"/>
    <mergeCell ref="A9:A11"/>
    <mergeCell ref="B9:B11"/>
    <mergeCell ref="C9:C11"/>
    <mergeCell ref="D9:E9"/>
    <mergeCell ref="D10:D11"/>
    <mergeCell ref="E10:E11"/>
  </mergeCells>
  <conditionalFormatting sqref="D82:D83 D64 D145 D103:D105 D108 D112 D115:D116 D170:E170 D172:E172 D169 D146:E146 D120:E120 D118:E118 D109:E111 D106:E107 D84:E85 D65:E66 D13:E58 D60:E63 D68:E74 D76:E81 D87:E96 D98:E102 D122:E126 D134:E140 D142:E144 D148:E156 D158:E159 D131:E132 D128:E129 D161:E163 D165:E165">
    <cfRule type="cellIs" dxfId="137" priority="33" stopIfTrue="1" operator="equal">
      <formula>0</formula>
    </cfRule>
  </conditionalFormatting>
  <conditionalFormatting sqref="E82:E83">
    <cfRule type="cellIs" dxfId="136" priority="30" stopIfTrue="1" operator="equal">
      <formula>0</formula>
    </cfRule>
  </conditionalFormatting>
  <conditionalFormatting sqref="E145">
    <cfRule type="cellIs" dxfId="135" priority="32" stopIfTrue="1" operator="equal">
      <formula>0</formula>
    </cfRule>
  </conditionalFormatting>
  <conditionalFormatting sqref="E64">
    <cfRule type="cellIs" dxfId="134" priority="31" stopIfTrue="1" operator="equal">
      <formula>0</formula>
    </cfRule>
  </conditionalFormatting>
  <conditionalFormatting sqref="E103:E105">
    <cfRule type="cellIs" dxfId="133" priority="29" stopIfTrue="1" operator="equal">
      <formula>0</formula>
    </cfRule>
  </conditionalFormatting>
  <conditionalFormatting sqref="E160">
    <cfRule type="cellIs" dxfId="132" priority="27" stopIfTrue="1" operator="equal">
      <formula>0</formula>
    </cfRule>
  </conditionalFormatting>
  <conditionalFormatting sqref="E127">
    <cfRule type="cellIs" dxfId="131" priority="28" stopIfTrue="1" operator="equal">
      <formula>0</formula>
    </cfRule>
  </conditionalFormatting>
  <conditionalFormatting sqref="D119:E119">
    <cfRule type="cellIs" dxfId="130" priority="26" stopIfTrue="1" operator="equal">
      <formula>0</formula>
    </cfRule>
  </conditionalFormatting>
  <conditionalFormatting sqref="D127">
    <cfRule type="cellIs" dxfId="129" priority="25" stopIfTrue="1" operator="equal">
      <formula>0</formula>
    </cfRule>
  </conditionalFormatting>
  <conditionalFormatting sqref="E108">
    <cfRule type="cellIs" dxfId="128" priority="21" stopIfTrue="1" operator="equal">
      <formula>0</formula>
    </cfRule>
  </conditionalFormatting>
  <conditionalFormatting sqref="D160">
    <cfRule type="cellIs" dxfId="127" priority="24" stopIfTrue="1" operator="equal">
      <formula>0</formula>
    </cfRule>
  </conditionalFormatting>
  <conditionalFormatting sqref="D113:E113">
    <cfRule type="cellIs" dxfId="126" priority="23" stopIfTrue="1" operator="equal">
      <formula>0</formula>
    </cfRule>
  </conditionalFormatting>
  <conditionalFormatting sqref="D117:E117">
    <cfRule type="cellIs" dxfId="125" priority="22" stopIfTrue="1" operator="equal">
      <formula>0</formula>
    </cfRule>
  </conditionalFormatting>
  <conditionalFormatting sqref="E112">
    <cfRule type="cellIs" dxfId="124" priority="20" stopIfTrue="1" operator="equal">
      <formula>0</formula>
    </cfRule>
  </conditionalFormatting>
  <conditionalFormatting sqref="E115:E116">
    <cfRule type="cellIs" dxfId="123" priority="19" stopIfTrue="1" operator="equal">
      <formula>0</formula>
    </cfRule>
  </conditionalFormatting>
  <conditionalFormatting sqref="E169">
    <cfRule type="cellIs" dxfId="122" priority="18" stopIfTrue="1" operator="equal">
      <formula>0</formula>
    </cfRule>
  </conditionalFormatting>
  <conditionalFormatting sqref="D167:E167">
    <cfRule type="cellIs" dxfId="121" priority="17" stopIfTrue="1" operator="equal">
      <formula>0</formula>
    </cfRule>
  </conditionalFormatting>
  <conditionalFormatting sqref="D114:E114">
    <cfRule type="cellIs" dxfId="120" priority="16" stopIfTrue="1" operator="equal">
      <formula>0</formula>
    </cfRule>
  </conditionalFormatting>
  <conditionalFormatting sqref="D59:E59">
    <cfRule type="cellIs" dxfId="119" priority="15" stopIfTrue="1" operator="equal">
      <formula>0</formula>
    </cfRule>
  </conditionalFormatting>
  <conditionalFormatting sqref="D67:E67">
    <cfRule type="cellIs" dxfId="118" priority="14" stopIfTrue="1" operator="equal">
      <formula>0</formula>
    </cfRule>
  </conditionalFormatting>
  <conditionalFormatting sqref="D75:E75">
    <cfRule type="cellIs" dxfId="117" priority="13" stopIfTrue="1" operator="equal">
      <formula>0</formula>
    </cfRule>
  </conditionalFormatting>
  <conditionalFormatting sqref="D86:E86">
    <cfRule type="cellIs" dxfId="116" priority="12" stopIfTrue="1" operator="equal">
      <formula>0</formula>
    </cfRule>
  </conditionalFormatting>
  <conditionalFormatting sqref="D97:E97">
    <cfRule type="cellIs" dxfId="115" priority="11" stopIfTrue="1" operator="equal">
      <formula>0</formula>
    </cfRule>
  </conditionalFormatting>
  <conditionalFormatting sqref="D121:E121">
    <cfRule type="cellIs" dxfId="114" priority="10" stopIfTrue="1" operator="equal">
      <formula>0</formula>
    </cfRule>
  </conditionalFormatting>
  <conditionalFormatting sqref="D133:E133">
    <cfRule type="cellIs" dxfId="113" priority="9" stopIfTrue="1" operator="equal">
      <formula>0</formula>
    </cfRule>
  </conditionalFormatting>
  <conditionalFormatting sqref="D141:E141">
    <cfRule type="cellIs" dxfId="112" priority="8" stopIfTrue="1" operator="equal">
      <formula>0</formula>
    </cfRule>
  </conditionalFormatting>
  <conditionalFormatting sqref="D147:E147">
    <cfRule type="cellIs" dxfId="111" priority="7" stopIfTrue="1" operator="equal">
      <formula>0</formula>
    </cfRule>
  </conditionalFormatting>
  <conditionalFormatting sqref="D157:E157">
    <cfRule type="cellIs" dxfId="110" priority="6" stopIfTrue="1" operator="equal">
      <formula>0</formula>
    </cfRule>
  </conditionalFormatting>
  <conditionalFormatting sqref="D130:E130">
    <cfRule type="cellIs" dxfId="109" priority="5" stopIfTrue="1" operator="equal">
      <formula>0</formula>
    </cfRule>
  </conditionalFormatting>
  <conditionalFormatting sqref="D171:E171">
    <cfRule type="cellIs" dxfId="108" priority="4" stopIfTrue="1" operator="equal">
      <formula>0</formula>
    </cfRule>
  </conditionalFormatting>
  <conditionalFormatting sqref="D166:E166">
    <cfRule type="cellIs" dxfId="107" priority="3" stopIfTrue="1" operator="equal">
      <formula>0</formula>
    </cfRule>
  </conditionalFormatting>
  <conditionalFormatting sqref="D168:E168">
    <cfRule type="cellIs" dxfId="106" priority="2" stopIfTrue="1" operator="equal">
      <formula>0</formula>
    </cfRule>
  </conditionalFormatting>
  <conditionalFormatting sqref="D164:E164">
    <cfRule type="cellIs" dxfId="105" priority="1" stopIfTrue="1" operator="equal">
      <formula>0</formula>
    </cfRule>
  </conditionalFormatting>
  <pageMargins left="0.70866141732283472" right="0.31496062992125984" top="0.74803149606299213" bottom="0.74803149606299213" header="0.31496062992125984" footer="0.31496062992125984"/>
  <pageSetup paperSize="9" scale="75" fitToHeight="0"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9A0E1-AAD9-4E4C-8D5C-CC6F5A768CD3}">
  <sheetPr>
    <pageSetUpPr fitToPage="1"/>
  </sheetPr>
  <dimension ref="A1:G35"/>
  <sheetViews>
    <sheetView workbookViewId="0"/>
  </sheetViews>
  <sheetFormatPr defaultColWidth="9.36328125" defaultRowHeight="11.5" x14ac:dyDescent="0.25"/>
  <cols>
    <col min="1" max="1" width="5.90625" style="8" customWidth="1"/>
    <col min="2" max="2" width="40.453125" style="1" customWidth="1"/>
    <col min="3" max="3" width="6" style="10" customWidth="1"/>
    <col min="4" max="4" width="9.6328125" style="9" customWidth="1"/>
    <col min="5" max="5" width="10.54296875" style="9" customWidth="1"/>
    <col min="6" max="6" width="9.6328125" style="9" customWidth="1"/>
    <col min="7" max="7" width="9.81640625" style="9" customWidth="1"/>
    <col min="8" max="16384" width="9.36328125" style="1"/>
  </cols>
  <sheetData>
    <row r="1" spans="1:7" x14ac:dyDescent="0.25">
      <c r="D1" s="7"/>
      <c r="E1" s="7" t="s">
        <v>4</v>
      </c>
      <c r="G1" s="1"/>
    </row>
    <row r="2" spans="1:7" x14ac:dyDescent="0.25">
      <c r="D2" s="7"/>
      <c r="E2" s="7" t="s">
        <v>290</v>
      </c>
      <c r="G2" s="1"/>
    </row>
    <row r="3" spans="1:7" x14ac:dyDescent="0.25">
      <c r="D3" s="7"/>
      <c r="E3" s="7" t="s">
        <v>440</v>
      </c>
      <c r="G3" s="1"/>
    </row>
    <row r="5" spans="1:7" ht="15" x14ac:dyDescent="0.3">
      <c r="A5" s="642" t="s">
        <v>441</v>
      </c>
      <c r="B5" s="642"/>
      <c r="C5" s="642"/>
      <c r="D5" s="642"/>
      <c r="E5" s="642"/>
      <c r="F5" s="642"/>
      <c r="G5" s="642"/>
    </row>
    <row r="6" spans="1:7" ht="15" x14ac:dyDescent="0.3">
      <c r="B6" s="264"/>
      <c r="C6" s="264"/>
      <c r="D6" s="264"/>
      <c r="E6" s="264"/>
      <c r="F6" s="264"/>
      <c r="G6" s="264"/>
    </row>
    <row r="7" spans="1:7" ht="12" thickBot="1" x14ac:dyDescent="0.3">
      <c r="D7" s="7"/>
      <c r="E7" s="7"/>
      <c r="F7" s="7"/>
      <c r="G7" s="223" t="s">
        <v>154</v>
      </c>
    </row>
    <row r="8" spans="1:7" s="2" customFormat="1" ht="29.4" customHeight="1" x14ac:dyDescent="0.25">
      <c r="A8" s="643" t="s">
        <v>6</v>
      </c>
      <c r="B8" s="646" t="s">
        <v>25</v>
      </c>
      <c r="C8" s="649" t="s">
        <v>96</v>
      </c>
      <c r="D8" s="652" t="s">
        <v>442</v>
      </c>
      <c r="E8" s="655" t="s">
        <v>278</v>
      </c>
      <c r="F8" s="658" t="s">
        <v>443</v>
      </c>
      <c r="G8" s="659"/>
    </row>
    <row r="9" spans="1:7" s="3" customFormat="1" x14ac:dyDescent="0.25">
      <c r="A9" s="644"/>
      <c r="B9" s="647"/>
      <c r="C9" s="650"/>
      <c r="D9" s="653"/>
      <c r="E9" s="656"/>
      <c r="F9" s="660" t="s">
        <v>0</v>
      </c>
      <c r="G9" s="662" t="s">
        <v>278</v>
      </c>
    </row>
    <row r="10" spans="1:7" ht="12" thickBot="1" x14ac:dyDescent="0.3">
      <c r="A10" s="645"/>
      <c r="B10" s="648"/>
      <c r="C10" s="651"/>
      <c r="D10" s="654"/>
      <c r="E10" s="657"/>
      <c r="F10" s="661"/>
      <c r="G10" s="657"/>
    </row>
    <row r="11" spans="1:7" x14ac:dyDescent="0.25">
      <c r="A11" s="256">
        <v>1</v>
      </c>
      <c r="B11" s="259">
        <v>2</v>
      </c>
      <c r="C11" s="260">
        <v>3</v>
      </c>
      <c r="D11" s="262">
        <v>4</v>
      </c>
      <c r="E11" s="275">
        <v>5</v>
      </c>
      <c r="F11" s="262">
        <v>6</v>
      </c>
      <c r="G11" s="258">
        <v>7</v>
      </c>
    </row>
    <row r="12" spans="1:7" s="249" customFormat="1" ht="13" x14ac:dyDescent="0.3">
      <c r="A12" s="250" t="s">
        <v>125</v>
      </c>
      <c r="B12" s="227" t="s">
        <v>21</v>
      </c>
      <c r="C12" s="276"/>
      <c r="D12" s="84">
        <f>SUM(D14:D15)</f>
        <v>64.117999999999995</v>
      </c>
      <c r="E12" s="86">
        <f>SUM(E14:E15)</f>
        <v>0</v>
      </c>
      <c r="F12" s="84">
        <f>F14+F15</f>
        <v>27.118000000000002</v>
      </c>
      <c r="G12" s="86"/>
    </row>
    <row r="13" spans="1:7" s="222" customFormat="1" ht="13" x14ac:dyDescent="0.3">
      <c r="A13" s="277"/>
      <c r="B13" s="232" t="s">
        <v>300</v>
      </c>
      <c r="C13" s="246"/>
      <c r="D13" s="78"/>
      <c r="E13" s="80"/>
      <c r="F13" s="78"/>
      <c r="G13" s="80"/>
    </row>
    <row r="14" spans="1:7" s="222" customFormat="1" ht="26" x14ac:dyDescent="0.3">
      <c r="A14" s="277"/>
      <c r="B14" s="232" t="s">
        <v>444</v>
      </c>
      <c r="C14" s="246" t="s">
        <v>34</v>
      </c>
      <c r="D14" s="78">
        <f>F14+7.24</f>
        <v>8.1069999999999993</v>
      </c>
      <c r="E14" s="80"/>
      <c r="F14" s="78">
        <v>0.86699999999999999</v>
      </c>
      <c r="G14" s="80"/>
    </row>
    <row r="15" spans="1:7" s="222" customFormat="1" ht="26.5" thickBot="1" x14ac:dyDescent="0.35">
      <c r="A15" s="277"/>
      <c r="B15" s="232" t="s">
        <v>445</v>
      </c>
      <c r="C15" s="246" t="s">
        <v>33</v>
      </c>
      <c r="D15" s="78">
        <f>F15+28.96+0.8</f>
        <v>56.010999999999996</v>
      </c>
      <c r="E15" s="80"/>
      <c r="F15" s="78">
        <f>24.155+2.096</f>
        <v>26.251000000000001</v>
      </c>
      <c r="G15" s="80"/>
    </row>
    <row r="16" spans="1:7" s="249" customFormat="1" ht="13.5" hidden="1" thickBot="1" x14ac:dyDescent="0.35">
      <c r="A16" s="245" t="s">
        <v>126</v>
      </c>
      <c r="B16" s="224" t="s">
        <v>9</v>
      </c>
      <c r="C16" s="278"/>
      <c r="D16" s="84">
        <f>SUM(D18:D18)</f>
        <v>0</v>
      </c>
      <c r="E16" s="86"/>
      <c r="F16" s="272">
        <v>0</v>
      </c>
      <c r="G16" s="86"/>
    </row>
    <row r="17" spans="1:7" s="222" customFormat="1" ht="13.5" hidden="1" thickBot="1" x14ac:dyDescent="0.35">
      <c r="A17" s="277"/>
      <c r="B17" s="232" t="s">
        <v>300</v>
      </c>
      <c r="C17" s="246"/>
      <c r="D17" s="78"/>
      <c r="E17" s="80"/>
      <c r="F17" s="279">
        <v>0</v>
      </c>
      <c r="G17" s="80"/>
    </row>
    <row r="18" spans="1:7" s="222" customFormat="1" ht="13.5" hidden="1" thickBot="1" x14ac:dyDescent="0.35">
      <c r="A18" s="277"/>
      <c r="B18" s="232" t="s">
        <v>446</v>
      </c>
      <c r="C18" s="246" t="s">
        <v>34</v>
      </c>
      <c r="D18" s="78"/>
      <c r="E18" s="80"/>
      <c r="F18" s="279">
        <v>0</v>
      </c>
      <c r="G18" s="80"/>
    </row>
    <row r="19" spans="1:7" s="249" customFormat="1" ht="13.5" hidden="1" thickBot="1" x14ac:dyDescent="0.35">
      <c r="A19" s="245" t="s">
        <v>139</v>
      </c>
      <c r="B19" s="224" t="s">
        <v>375</v>
      </c>
      <c r="C19" s="278"/>
      <c r="D19" s="84">
        <f>SUM(D21:D21)</f>
        <v>0</v>
      </c>
      <c r="E19" s="86"/>
      <c r="F19" s="272">
        <v>0</v>
      </c>
      <c r="G19" s="86"/>
    </row>
    <row r="20" spans="1:7" s="222" customFormat="1" ht="13.5" hidden="1" thickBot="1" x14ac:dyDescent="0.35">
      <c r="A20" s="277"/>
      <c r="B20" s="232" t="s">
        <v>300</v>
      </c>
      <c r="C20" s="246"/>
      <c r="D20" s="78"/>
      <c r="E20" s="80"/>
      <c r="F20" s="279">
        <v>0</v>
      </c>
      <c r="G20" s="80"/>
    </row>
    <row r="21" spans="1:7" s="222" customFormat="1" ht="13.5" hidden="1" thickBot="1" x14ac:dyDescent="0.35">
      <c r="A21" s="277"/>
      <c r="B21" s="232" t="s">
        <v>446</v>
      </c>
      <c r="C21" s="246" t="s">
        <v>34</v>
      </c>
      <c r="D21" s="78"/>
      <c r="E21" s="80"/>
      <c r="F21" s="279">
        <v>0</v>
      </c>
      <c r="G21" s="80"/>
    </row>
    <row r="22" spans="1:7" s="249" customFormat="1" ht="13.5" hidden="1" thickBot="1" x14ac:dyDescent="0.35">
      <c r="A22" s="245" t="s">
        <v>142</v>
      </c>
      <c r="B22" s="224" t="s">
        <v>16</v>
      </c>
      <c r="C22" s="278"/>
      <c r="D22" s="84">
        <f>SUM(D24)</f>
        <v>0</v>
      </c>
      <c r="E22" s="86"/>
      <c r="F22" s="272"/>
      <c r="G22" s="86"/>
    </row>
    <row r="23" spans="1:7" s="222" customFormat="1" ht="13.5" hidden="1" thickBot="1" x14ac:dyDescent="0.35">
      <c r="A23" s="277"/>
      <c r="B23" s="232" t="s">
        <v>300</v>
      </c>
      <c r="C23" s="246"/>
      <c r="D23" s="78"/>
      <c r="E23" s="80"/>
      <c r="F23" s="279">
        <v>0</v>
      </c>
      <c r="G23" s="80"/>
    </row>
    <row r="24" spans="1:7" s="222" customFormat="1" ht="13.5" hidden="1" thickBot="1" x14ac:dyDescent="0.35">
      <c r="A24" s="277"/>
      <c r="B24" s="232" t="s">
        <v>446</v>
      </c>
      <c r="C24" s="246" t="s">
        <v>34</v>
      </c>
      <c r="D24" s="78"/>
      <c r="E24" s="80"/>
      <c r="F24" s="279"/>
      <c r="G24" s="80"/>
    </row>
    <row r="25" spans="1:7" ht="13.5" hidden="1" thickBot="1" x14ac:dyDescent="0.35">
      <c r="A25" s="245" t="s">
        <v>141</v>
      </c>
      <c r="B25" s="224"/>
      <c r="C25" s="278"/>
      <c r="D25" s="78">
        <f>SUM(D27)</f>
        <v>0</v>
      </c>
      <c r="E25" s="80"/>
      <c r="F25" s="78">
        <f>SUM(F27)</f>
        <v>0</v>
      </c>
      <c r="G25" s="80"/>
    </row>
    <row r="26" spans="1:7" ht="13.5" hidden="1" thickBot="1" x14ac:dyDescent="0.35">
      <c r="A26" s="277"/>
      <c r="B26" s="232" t="s">
        <v>300</v>
      </c>
      <c r="C26" s="246"/>
      <c r="D26" s="78"/>
      <c r="E26" s="80"/>
      <c r="F26" s="78"/>
      <c r="G26" s="80"/>
    </row>
    <row r="27" spans="1:7" ht="13.5" hidden="1" thickBot="1" x14ac:dyDescent="0.35">
      <c r="A27" s="280"/>
      <c r="B27" s="281"/>
      <c r="C27" s="282" t="s">
        <v>33</v>
      </c>
      <c r="D27" s="81"/>
      <c r="E27" s="82"/>
      <c r="F27" s="81"/>
      <c r="G27" s="82"/>
    </row>
    <row r="28" spans="1:7" s="5" customFormat="1" ht="15.5" thickBot="1" x14ac:dyDescent="0.35">
      <c r="A28" s="23"/>
      <c r="B28" s="283" t="s">
        <v>379</v>
      </c>
      <c r="C28" s="145"/>
      <c r="D28" s="87">
        <f>SUM(D19,D16,D12,D22,D25)</f>
        <v>64.117999999999995</v>
      </c>
      <c r="E28" s="88">
        <f>SUM(E19,E12)</f>
        <v>0</v>
      </c>
      <c r="F28" s="87">
        <f>SUM(F19,F16,F12,F22,F25)</f>
        <v>27.118000000000002</v>
      </c>
      <c r="G28" s="88">
        <f>SUM(G19,G16,G12)</f>
        <v>0</v>
      </c>
    </row>
    <row r="29" spans="1:7" s="5" customFormat="1" ht="13" x14ac:dyDescent="0.3">
      <c r="A29" s="284"/>
      <c r="B29" s="285" t="s">
        <v>447</v>
      </c>
      <c r="C29" s="286"/>
      <c r="D29" s="236"/>
      <c r="E29" s="237"/>
      <c r="F29" s="236"/>
      <c r="G29" s="237"/>
    </row>
    <row r="30" spans="1:7" s="5" customFormat="1" ht="13" x14ac:dyDescent="0.3">
      <c r="A30" s="287"/>
      <c r="B30" s="273" t="s">
        <v>384</v>
      </c>
      <c r="C30" s="288"/>
      <c r="D30" s="78">
        <f>SUM(D14,D18,D21,D24)</f>
        <v>8.1069999999999993</v>
      </c>
      <c r="E30" s="80"/>
      <c r="F30" s="78">
        <f>SUM(F14,F24,F21,F18)</f>
        <v>0.86699999999999999</v>
      </c>
      <c r="G30" s="80"/>
    </row>
    <row r="31" spans="1:7" s="5" customFormat="1" ht="13.5" thickBot="1" x14ac:dyDescent="0.35">
      <c r="A31" s="289"/>
      <c r="B31" s="290" t="s">
        <v>438</v>
      </c>
      <c r="C31" s="291"/>
      <c r="D31" s="240">
        <f>D15</f>
        <v>56.010999999999996</v>
      </c>
      <c r="E31" s="241"/>
      <c r="F31" s="240">
        <f>F15</f>
        <v>26.251000000000001</v>
      </c>
      <c r="G31" s="241">
        <f>G15</f>
        <v>0</v>
      </c>
    </row>
    <row r="33" spans="2:5" x14ac:dyDescent="0.25">
      <c r="D33" s="292"/>
      <c r="E33" s="292"/>
    </row>
    <row r="35" spans="2:5" ht="13" x14ac:dyDescent="0.3">
      <c r="B35" s="293"/>
    </row>
  </sheetData>
  <mergeCells count="9">
    <mergeCell ref="A5:G5"/>
    <mergeCell ref="A8:A10"/>
    <mergeCell ref="B8:B10"/>
    <mergeCell ref="C8:C10"/>
    <mergeCell ref="D8:D10"/>
    <mergeCell ref="E8:E10"/>
    <mergeCell ref="F8:G8"/>
    <mergeCell ref="F9:F10"/>
    <mergeCell ref="G9:G10"/>
  </mergeCells>
  <conditionalFormatting sqref="D30:E30 G30 D12:G29 D31:G31">
    <cfRule type="cellIs" dxfId="104" priority="2" stopIfTrue="1" operator="equal">
      <formula>0</formula>
    </cfRule>
  </conditionalFormatting>
  <conditionalFormatting sqref="F30">
    <cfRule type="cellIs" dxfId="103" priority="1" stopIfTrue="1" operator="equal">
      <formula>0</formula>
    </cfRule>
  </conditionalFormatting>
  <pageMargins left="0.7" right="0.7" top="0.75" bottom="0.75" header="0.3" footer="0.3"/>
  <pageSetup paperSize="9" scale="97" fitToHeight="0"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931B8-C0E0-4DB0-9B82-3BA9BDB8A3FF}">
  <sheetPr>
    <pageSetUpPr fitToPage="1"/>
  </sheetPr>
  <dimension ref="A1:G71"/>
  <sheetViews>
    <sheetView workbookViewId="0">
      <pane ySplit="10" topLeftCell="A11" activePane="bottomLeft" state="frozen"/>
      <selection pane="bottomLeft"/>
    </sheetView>
  </sheetViews>
  <sheetFormatPr defaultColWidth="9.36328125" defaultRowHeight="11.5" x14ac:dyDescent="0.25"/>
  <cols>
    <col min="1" max="1" width="5.90625" style="8" customWidth="1"/>
    <col min="2" max="2" width="60.6328125" style="1" customWidth="1"/>
    <col min="3" max="3" width="6.36328125" style="10" customWidth="1"/>
    <col min="4" max="5" width="10.54296875" style="9" customWidth="1"/>
    <col min="6" max="6" width="9.36328125" style="1"/>
    <col min="7" max="7" width="10.6328125" style="1" customWidth="1"/>
    <col min="8" max="16384" width="9.36328125" style="1"/>
  </cols>
  <sheetData>
    <row r="1" spans="1:7" x14ac:dyDescent="0.25">
      <c r="E1" s="7" t="s">
        <v>4</v>
      </c>
    </row>
    <row r="2" spans="1:7" ht="12.65" customHeight="1" x14ac:dyDescent="0.25">
      <c r="E2" s="7" t="s">
        <v>276</v>
      </c>
    </row>
    <row r="3" spans="1:7" s="267" customFormat="1" hidden="1" x14ac:dyDescent="0.25">
      <c r="A3" s="266"/>
      <c r="C3" s="268"/>
      <c r="D3" s="294"/>
      <c r="E3" s="269" t="s">
        <v>275</v>
      </c>
    </row>
    <row r="4" spans="1:7" s="267" customFormat="1" hidden="1" x14ac:dyDescent="0.25">
      <c r="A4" s="266"/>
      <c r="C4" s="268"/>
      <c r="D4" s="294"/>
      <c r="E4" s="269" t="s">
        <v>192</v>
      </c>
    </row>
    <row r="5" spans="1:7" ht="12" customHeight="1" x14ac:dyDescent="0.25">
      <c r="E5" s="9" t="s">
        <v>448</v>
      </c>
    </row>
    <row r="6" spans="1:7" ht="30.75" customHeight="1" x14ac:dyDescent="0.25">
      <c r="A6" s="663" t="s">
        <v>449</v>
      </c>
      <c r="B6" s="663"/>
      <c r="C6" s="663"/>
      <c r="D6" s="663"/>
      <c r="E6" s="663"/>
      <c r="F6" s="663"/>
      <c r="G6" s="663"/>
    </row>
    <row r="7" spans="1:7" ht="21.65" customHeight="1" thickBot="1" x14ac:dyDescent="0.3">
      <c r="G7" s="295" t="s">
        <v>154</v>
      </c>
    </row>
    <row r="8" spans="1:7" s="2" customFormat="1" ht="22.75" customHeight="1" x14ac:dyDescent="0.25">
      <c r="A8" s="643" t="s">
        <v>6</v>
      </c>
      <c r="B8" s="646" t="s">
        <v>25</v>
      </c>
      <c r="C8" s="664" t="s">
        <v>295</v>
      </c>
      <c r="D8" s="667" t="s">
        <v>389</v>
      </c>
      <c r="E8" s="668"/>
      <c r="F8" s="669" t="s">
        <v>443</v>
      </c>
      <c r="G8" s="670"/>
    </row>
    <row r="9" spans="1:7" s="3" customFormat="1" ht="12" customHeight="1" x14ac:dyDescent="0.25">
      <c r="A9" s="644"/>
      <c r="B9" s="647"/>
      <c r="C9" s="665"/>
      <c r="D9" s="671" t="s">
        <v>0</v>
      </c>
      <c r="E9" s="673" t="s">
        <v>38</v>
      </c>
      <c r="F9" s="675" t="s">
        <v>0</v>
      </c>
      <c r="G9" s="673" t="s">
        <v>38</v>
      </c>
    </row>
    <row r="10" spans="1:7" ht="15.75" customHeight="1" thickBot="1" x14ac:dyDescent="0.3">
      <c r="A10" s="645"/>
      <c r="B10" s="648"/>
      <c r="C10" s="666"/>
      <c r="D10" s="672"/>
      <c r="E10" s="674"/>
      <c r="F10" s="676"/>
      <c r="G10" s="677"/>
    </row>
    <row r="11" spans="1:7" ht="16.5" customHeight="1" x14ac:dyDescent="0.25">
      <c r="A11" s="27">
        <v>1</v>
      </c>
      <c r="B11" s="146">
        <v>2</v>
      </c>
      <c r="C11" s="28">
        <v>3</v>
      </c>
      <c r="D11" s="29">
        <v>4</v>
      </c>
      <c r="E11" s="296">
        <v>5</v>
      </c>
      <c r="F11" s="29">
        <v>6</v>
      </c>
      <c r="G11" s="296">
        <v>7</v>
      </c>
    </row>
    <row r="12" spans="1:7" s="4" customFormat="1" ht="22.5" customHeight="1" x14ac:dyDescent="0.3">
      <c r="A12" s="678" t="s">
        <v>125</v>
      </c>
      <c r="B12" s="33" t="s">
        <v>450</v>
      </c>
      <c r="C12" s="73"/>
      <c r="D12" s="84">
        <f>SUM(D14:D38)</f>
        <v>252.67900000000006</v>
      </c>
      <c r="E12" s="151">
        <f>SUM(E14:E38)</f>
        <v>12.141</v>
      </c>
      <c r="F12" s="84">
        <f>SUM(F14:F38)</f>
        <v>250.59800000000004</v>
      </c>
      <c r="G12" s="151">
        <f>SUM(G14:G38)</f>
        <v>12.141</v>
      </c>
    </row>
    <row r="13" spans="1:7" ht="12.75" customHeight="1" x14ac:dyDescent="0.3">
      <c r="A13" s="679"/>
      <c r="B13" s="6" t="s">
        <v>2</v>
      </c>
      <c r="C13" s="265"/>
      <c r="D13" s="84">
        <f t="shared" ref="D13:E55" si="0">F13</f>
        <v>0</v>
      </c>
      <c r="E13" s="108">
        <f t="shared" si="0"/>
        <v>0</v>
      </c>
      <c r="F13" s="84"/>
      <c r="G13" s="108"/>
    </row>
    <row r="14" spans="1:7" ht="22.5" customHeight="1" x14ac:dyDescent="0.25">
      <c r="A14" s="679"/>
      <c r="B14" s="270" t="s">
        <v>451</v>
      </c>
      <c r="C14" s="265">
        <v>1</v>
      </c>
      <c r="D14" s="84">
        <f t="shared" si="0"/>
        <v>12.762</v>
      </c>
      <c r="E14" s="108">
        <f t="shared" si="0"/>
        <v>0</v>
      </c>
      <c r="F14" s="84">
        <v>12.762</v>
      </c>
      <c r="G14" s="108"/>
    </row>
    <row r="15" spans="1:7" ht="22.5" hidden="1" customHeight="1" x14ac:dyDescent="0.25">
      <c r="A15" s="679"/>
      <c r="B15" s="270" t="s">
        <v>452</v>
      </c>
      <c r="C15" s="265">
        <v>1</v>
      </c>
      <c r="D15" s="84">
        <f t="shared" si="0"/>
        <v>0</v>
      </c>
      <c r="E15" s="108">
        <f t="shared" si="0"/>
        <v>0</v>
      </c>
      <c r="F15" s="84"/>
      <c r="G15" s="108"/>
    </row>
    <row r="16" spans="1:7" ht="22.5" hidden="1" customHeight="1" x14ac:dyDescent="0.25">
      <c r="A16" s="679"/>
      <c r="B16" s="270" t="s">
        <v>453</v>
      </c>
      <c r="C16" s="265">
        <v>2</v>
      </c>
      <c r="D16" s="84">
        <f t="shared" si="0"/>
        <v>0</v>
      </c>
      <c r="E16" s="108">
        <f t="shared" si="0"/>
        <v>0</v>
      </c>
      <c r="F16" s="84"/>
      <c r="G16" s="108"/>
    </row>
    <row r="17" spans="1:7" ht="39" customHeight="1" x14ac:dyDescent="0.25">
      <c r="A17" s="679"/>
      <c r="B17" s="270" t="s">
        <v>454</v>
      </c>
      <c r="C17" s="265">
        <v>3</v>
      </c>
      <c r="D17" s="84">
        <f t="shared" si="0"/>
        <v>6.3360000000000003</v>
      </c>
      <c r="E17" s="108">
        <f t="shared" si="0"/>
        <v>4.2670000000000003</v>
      </c>
      <c r="F17" s="84">
        <v>6.3360000000000003</v>
      </c>
      <c r="G17" s="108">
        <v>4.2670000000000003</v>
      </c>
    </row>
    <row r="18" spans="1:7" ht="39" customHeight="1" x14ac:dyDescent="0.25">
      <c r="A18" s="679"/>
      <c r="B18" s="270" t="s">
        <v>455</v>
      </c>
      <c r="C18" s="265">
        <v>3</v>
      </c>
      <c r="D18" s="84">
        <f t="shared" si="0"/>
        <v>21.884</v>
      </c>
      <c r="E18" s="108">
        <f t="shared" si="0"/>
        <v>3</v>
      </c>
      <c r="F18" s="84">
        <v>21.884</v>
      </c>
      <c r="G18" s="108">
        <v>3</v>
      </c>
    </row>
    <row r="19" spans="1:7" ht="33" hidden="1" customHeight="1" x14ac:dyDescent="0.25">
      <c r="A19" s="679"/>
      <c r="B19" s="270" t="s">
        <v>456</v>
      </c>
      <c r="C19" s="265">
        <v>6</v>
      </c>
      <c r="D19" s="84">
        <f t="shared" si="0"/>
        <v>0</v>
      </c>
      <c r="E19" s="108">
        <f t="shared" si="0"/>
        <v>0</v>
      </c>
      <c r="F19" s="84"/>
      <c r="G19" s="108"/>
    </row>
    <row r="20" spans="1:7" ht="33" hidden="1" customHeight="1" x14ac:dyDescent="0.25">
      <c r="A20" s="679"/>
      <c r="B20" s="270" t="s">
        <v>251</v>
      </c>
      <c r="C20" s="265">
        <v>6</v>
      </c>
      <c r="D20" s="84">
        <f t="shared" si="0"/>
        <v>0</v>
      </c>
      <c r="E20" s="108">
        <f t="shared" si="0"/>
        <v>0</v>
      </c>
      <c r="F20" s="84"/>
      <c r="G20" s="108"/>
    </row>
    <row r="21" spans="1:7" ht="33" customHeight="1" x14ac:dyDescent="0.25">
      <c r="A21" s="679"/>
      <c r="B21" s="270" t="s">
        <v>457</v>
      </c>
      <c r="C21" s="265">
        <v>6</v>
      </c>
      <c r="D21" s="84">
        <f t="shared" si="0"/>
        <v>8.2040000000000006</v>
      </c>
      <c r="E21" s="108">
        <f t="shared" si="0"/>
        <v>0</v>
      </c>
      <c r="F21" s="84">
        <v>8.2040000000000006</v>
      </c>
      <c r="G21" s="108"/>
    </row>
    <row r="22" spans="1:7" ht="33" customHeight="1" x14ac:dyDescent="0.25">
      <c r="A22" s="679"/>
      <c r="B22" s="270" t="s">
        <v>458</v>
      </c>
      <c r="C22" s="265">
        <v>6</v>
      </c>
      <c r="D22" s="84">
        <f t="shared" si="0"/>
        <v>1.7150000000000001</v>
      </c>
      <c r="E22" s="108">
        <f t="shared" si="0"/>
        <v>1.69</v>
      </c>
      <c r="F22" s="84">
        <v>1.7150000000000001</v>
      </c>
      <c r="G22" s="108">
        <v>1.69</v>
      </c>
    </row>
    <row r="23" spans="1:7" ht="33" customHeight="1" x14ac:dyDescent="0.25">
      <c r="A23" s="679"/>
      <c r="B23" s="270" t="s">
        <v>459</v>
      </c>
      <c r="C23" s="265">
        <v>7</v>
      </c>
      <c r="D23" s="84">
        <v>2.081</v>
      </c>
      <c r="E23" s="108">
        <f t="shared" si="0"/>
        <v>0</v>
      </c>
      <c r="F23" s="84"/>
      <c r="G23" s="108"/>
    </row>
    <row r="24" spans="1:7" ht="33" hidden="1" customHeight="1" x14ac:dyDescent="0.25">
      <c r="A24" s="679"/>
      <c r="B24" s="270" t="s">
        <v>460</v>
      </c>
      <c r="C24" s="265">
        <v>7</v>
      </c>
      <c r="D24" s="84">
        <f t="shared" si="0"/>
        <v>0</v>
      </c>
      <c r="E24" s="108">
        <f t="shared" si="0"/>
        <v>0</v>
      </c>
      <c r="F24" s="84"/>
      <c r="G24" s="108"/>
    </row>
    <row r="25" spans="1:7" ht="33" hidden="1" customHeight="1" x14ac:dyDescent="0.25">
      <c r="A25" s="679"/>
      <c r="B25" s="270" t="s">
        <v>461</v>
      </c>
      <c r="C25" s="265">
        <v>8</v>
      </c>
      <c r="D25" s="84">
        <f t="shared" si="0"/>
        <v>0</v>
      </c>
      <c r="E25" s="108">
        <f t="shared" si="0"/>
        <v>0</v>
      </c>
      <c r="F25" s="84"/>
      <c r="G25" s="108"/>
    </row>
    <row r="26" spans="1:7" s="297" customFormat="1" ht="45" customHeight="1" x14ac:dyDescent="0.25">
      <c r="A26" s="679"/>
      <c r="B26" s="270" t="s">
        <v>462</v>
      </c>
      <c r="C26" s="265">
        <v>9</v>
      </c>
      <c r="D26" s="84">
        <f t="shared" si="0"/>
        <v>2.4319999999999999</v>
      </c>
      <c r="E26" s="108">
        <f t="shared" si="0"/>
        <v>0</v>
      </c>
      <c r="F26" s="84">
        <v>2.4319999999999999</v>
      </c>
      <c r="G26" s="108"/>
    </row>
    <row r="27" spans="1:7" s="297" customFormat="1" ht="33.75" customHeight="1" x14ac:dyDescent="0.25">
      <c r="A27" s="679"/>
      <c r="B27" s="270" t="s">
        <v>463</v>
      </c>
      <c r="C27" s="265">
        <v>9</v>
      </c>
      <c r="D27" s="84">
        <f t="shared" si="0"/>
        <v>0.96699999999999997</v>
      </c>
      <c r="E27" s="108">
        <f t="shared" si="0"/>
        <v>0</v>
      </c>
      <c r="F27" s="84">
        <v>0.96699999999999997</v>
      </c>
      <c r="G27" s="108"/>
    </row>
    <row r="28" spans="1:7" s="297" customFormat="1" ht="43.25" customHeight="1" x14ac:dyDescent="0.25">
      <c r="A28" s="679"/>
      <c r="B28" s="270" t="s">
        <v>464</v>
      </c>
      <c r="C28" s="265">
        <v>9</v>
      </c>
      <c r="D28" s="84">
        <f t="shared" si="0"/>
        <v>42</v>
      </c>
      <c r="E28" s="108">
        <f t="shared" si="0"/>
        <v>0</v>
      </c>
      <c r="F28" s="84">
        <v>42</v>
      </c>
      <c r="G28" s="108"/>
    </row>
    <row r="29" spans="1:7" s="297" customFormat="1" ht="28.25" customHeight="1" x14ac:dyDescent="0.25">
      <c r="A29" s="679"/>
      <c r="B29" s="270" t="s">
        <v>465</v>
      </c>
      <c r="C29" s="265">
        <v>9</v>
      </c>
      <c r="D29" s="84">
        <f t="shared" si="0"/>
        <v>46.015000000000001</v>
      </c>
      <c r="E29" s="108">
        <f t="shared" si="0"/>
        <v>0</v>
      </c>
      <c r="F29" s="84">
        <v>46.015000000000001</v>
      </c>
      <c r="G29" s="108"/>
    </row>
    <row r="30" spans="1:7" s="297" customFormat="1" ht="36" hidden="1" customHeight="1" x14ac:dyDescent="0.25">
      <c r="A30" s="679"/>
      <c r="B30" s="270" t="s">
        <v>466</v>
      </c>
      <c r="C30" s="265">
        <v>10</v>
      </c>
      <c r="D30" s="84">
        <f t="shared" si="0"/>
        <v>0</v>
      </c>
      <c r="E30" s="108">
        <f t="shared" si="0"/>
        <v>0</v>
      </c>
      <c r="F30" s="84"/>
      <c r="G30" s="108"/>
    </row>
    <row r="31" spans="1:7" s="297" customFormat="1" ht="33.65" hidden="1" customHeight="1" x14ac:dyDescent="0.25">
      <c r="A31" s="679"/>
      <c r="B31" s="270" t="s">
        <v>467</v>
      </c>
      <c r="C31" s="265">
        <v>10</v>
      </c>
      <c r="D31" s="84">
        <f t="shared" si="0"/>
        <v>0</v>
      </c>
      <c r="E31" s="108">
        <f t="shared" si="0"/>
        <v>0</v>
      </c>
      <c r="F31" s="84"/>
      <c r="G31" s="108"/>
    </row>
    <row r="32" spans="1:7" s="297" customFormat="1" ht="36" customHeight="1" x14ac:dyDescent="0.25">
      <c r="A32" s="679"/>
      <c r="B32" s="270" t="s">
        <v>468</v>
      </c>
      <c r="C32" s="265">
        <v>10</v>
      </c>
      <c r="D32" s="84">
        <f t="shared" si="0"/>
        <v>56.792999999999999</v>
      </c>
      <c r="E32" s="108">
        <f t="shared" si="0"/>
        <v>0</v>
      </c>
      <c r="F32" s="84">
        <v>56.792999999999999</v>
      </c>
      <c r="G32" s="108"/>
    </row>
    <row r="33" spans="1:7" s="297" customFormat="1" ht="36" customHeight="1" x14ac:dyDescent="0.25">
      <c r="A33" s="679"/>
      <c r="B33" s="270" t="s">
        <v>469</v>
      </c>
      <c r="C33" s="265">
        <v>10</v>
      </c>
      <c r="D33" s="84">
        <f t="shared" si="0"/>
        <v>21.181000000000001</v>
      </c>
      <c r="E33" s="108">
        <f t="shared" si="0"/>
        <v>1.7310000000000001</v>
      </c>
      <c r="F33" s="84">
        <v>21.181000000000001</v>
      </c>
      <c r="G33" s="108">
        <v>1.7310000000000001</v>
      </c>
    </row>
    <row r="34" spans="1:7" s="297" customFormat="1" ht="36" customHeight="1" x14ac:dyDescent="0.25">
      <c r="A34" s="679"/>
      <c r="B34" s="270" t="s">
        <v>470</v>
      </c>
      <c r="C34" s="265">
        <v>10</v>
      </c>
      <c r="D34" s="84">
        <f t="shared" si="0"/>
        <v>13.265000000000001</v>
      </c>
      <c r="E34" s="108">
        <f t="shared" si="0"/>
        <v>1.4530000000000001</v>
      </c>
      <c r="F34" s="84">
        <v>13.265000000000001</v>
      </c>
      <c r="G34" s="108">
        <v>1.4530000000000001</v>
      </c>
    </row>
    <row r="35" spans="1:7" s="297" customFormat="1" ht="42.65" customHeight="1" x14ac:dyDescent="0.25">
      <c r="A35" s="679"/>
      <c r="B35" s="270" t="s">
        <v>471</v>
      </c>
      <c r="C35" s="265">
        <v>10</v>
      </c>
      <c r="D35" s="84">
        <f t="shared" si="0"/>
        <v>17.044</v>
      </c>
      <c r="E35" s="108">
        <f t="shared" si="0"/>
        <v>0</v>
      </c>
      <c r="F35" s="84">
        <v>17.044</v>
      </c>
      <c r="G35" s="108"/>
    </row>
    <row r="36" spans="1:7" s="297" customFormat="1" ht="36" hidden="1" customHeight="1" x14ac:dyDescent="0.25">
      <c r="A36" s="679"/>
      <c r="B36" s="270" t="s">
        <v>472</v>
      </c>
      <c r="C36" s="265">
        <v>10</v>
      </c>
      <c r="D36" s="84">
        <f t="shared" si="0"/>
        <v>0</v>
      </c>
      <c r="E36" s="108">
        <f t="shared" si="0"/>
        <v>0</v>
      </c>
      <c r="F36" s="84"/>
      <c r="G36" s="108"/>
    </row>
    <row r="37" spans="1:7" s="297" customFormat="1" ht="29.4" hidden="1" customHeight="1" x14ac:dyDescent="0.25">
      <c r="A37" s="679"/>
      <c r="B37" s="270" t="s">
        <v>473</v>
      </c>
      <c r="C37" s="265">
        <v>10</v>
      </c>
      <c r="D37" s="84">
        <f t="shared" si="0"/>
        <v>0</v>
      </c>
      <c r="E37" s="108">
        <f t="shared" si="0"/>
        <v>0</v>
      </c>
      <c r="F37" s="84"/>
      <c r="G37" s="108"/>
    </row>
    <row r="38" spans="1:7" s="297" customFormat="1" ht="30" hidden="1" customHeight="1" x14ac:dyDescent="0.25">
      <c r="A38" s="680"/>
      <c r="B38" s="270" t="s">
        <v>474</v>
      </c>
      <c r="C38" s="265">
        <v>10</v>
      </c>
      <c r="D38" s="84">
        <f t="shared" si="0"/>
        <v>0</v>
      </c>
      <c r="E38" s="108">
        <f t="shared" si="0"/>
        <v>0</v>
      </c>
      <c r="F38" s="84"/>
      <c r="G38" s="108"/>
    </row>
    <row r="39" spans="1:7" s="297" customFormat="1" ht="24.65" customHeight="1" x14ac:dyDescent="0.3">
      <c r="A39" s="678" t="s">
        <v>126</v>
      </c>
      <c r="B39" s="224" t="s">
        <v>14</v>
      </c>
      <c r="C39" s="298">
        <v>2</v>
      </c>
      <c r="D39" s="84">
        <f t="shared" si="0"/>
        <v>0.872</v>
      </c>
      <c r="E39" s="86">
        <f>E41</f>
        <v>0</v>
      </c>
      <c r="F39" s="84">
        <f>F41</f>
        <v>0.872</v>
      </c>
      <c r="G39" s="86">
        <f>G41</f>
        <v>0</v>
      </c>
    </row>
    <row r="40" spans="1:7" s="297" customFormat="1" ht="14.25" customHeight="1" x14ac:dyDescent="0.3">
      <c r="A40" s="679"/>
      <c r="B40" s="6" t="s">
        <v>2</v>
      </c>
      <c r="C40" s="265"/>
      <c r="D40" s="84">
        <f t="shared" si="0"/>
        <v>0</v>
      </c>
      <c r="E40" s="108">
        <f t="shared" si="0"/>
        <v>0</v>
      </c>
      <c r="F40" s="84"/>
      <c r="G40" s="108"/>
    </row>
    <row r="41" spans="1:7" s="297" customFormat="1" ht="30" customHeight="1" x14ac:dyDescent="0.25">
      <c r="A41" s="680"/>
      <c r="B41" s="270" t="s">
        <v>475</v>
      </c>
      <c r="C41" s="265">
        <v>2</v>
      </c>
      <c r="D41" s="84">
        <f t="shared" si="0"/>
        <v>0.872</v>
      </c>
      <c r="E41" s="108">
        <f t="shared" si="0"/>
        <v>0</v>
      </c>
      <c r="F41" s="149">
        <v>0.872</v>
      </c>
      <c r="G41" s="108"/>
    </row>
    <row r="42" spans="1:7" s="297" customFormat="1" ht="23.4" customHeight="1" x14ac:dyDescent="0.3">
      <c r="A42" s="678" t="s">
        <v>139</v>
      </c>
      <c r="B42" s="33" t="s">
        <v>156</v>
      </c>
      <c r="C42" s="299">
        <v>2</v>
      </c>
      <c r="D42" s="84">
        <f t="shared" si="0"/>
        <v>49.993000000000002</v>
      </c>
      <c r="E42" s="86">
        <f t="shared" si="0"/>
        <v>39.731000000000002</v>
      </c>
      <c r="F42" s="84">
        <f>F44</f>
        <v>49.993000000000002</v>
      </c>
      <c r="G42" s="86">
        <f>G44</f>
        <v>39.731000000000002</v>
      </c>
    </row>
    <row r="43" spans="1:7" s="297" customFormat="1" ht="14.25" customHeight="1" x14ac:dyDescent="0.3">
      <c r="A43" s="679"/>
      <c r="B43" s="6" t="s">
        <v>2</v>
      </c>
      <c r="C43" s="265"/>
      <c r="D43" s="84">
        <f t="shared" si="0"/>
        <v>0</v>
      </c>
      <c r="E43" s="108">
        <f t="shared" si="0"/>
        <v>0</v>
      </c>
      <c r="F43" s="84"/>
      <c r="G43" s="108"/>
    </row>
    <row r="44" spans="1:7" s="297" customFormat="1" ht="30" customHeight="1" x14ac:dyDescent="0.25">
      <c r="A44" s="680"/>
      <c r="B44" s="270" t="s">
        <v>476</v>
      </c>
      <c r="C44" s="265">
        <v>2</v>
      </c>
      <c r="D44" s="84">
        <f t="shared" si="0"/>
        <v>49.993000000000002</v>
      </c>
      <c r="E44" s="108">
        <f t="shared" si="0"/>
        <v>39.731000000000002</v>
      </c>
      <c r="F44" s="149">
        <v>49.993000000000002</v>
      </c>
      <c r="G44" s="108">
        <v>39.731000000000002</v>
      </c>
    </row>
    <row r="45" spans="1:7" s="297" customFormat="1" ht="23.4" hidden="1" customHeight="1" x14ac:dyDescent="0.3">
      <c r="A45" s="678" t="s">
        <v>142</v>
      </c>
      <c r="B45" s="33" t="s">
        <v>9</v>
      </c>
      <c r="C45" s="299">
        <v>2</v>
      </c>
      <c r="D45" s="84">
        <f t="shared" si="0"/>
        <v>0</v>
      </c>
      <c r="E45" s="86">
        <f t="shared" si="0"/>
        <v>0</v>
      </c>
      <c r="F45" s="84"/>
      <c r="G45" s="86"/>
    </row>
    <row r="46" spans="1:7" s="297" customFormat="1" ht="14.25" hidden="1" customHeight="1" x14ac:dyDescent="0.3">
      <c r="A46" s="679"/>
      <c r="B46" s="6" t="s">
        <v>2</v>
      </c>
      <c r="C46" s="265"/>
      <c r="D46" s="84">
        <f t="shared" si="0"/>
        <v>0</v>
      </c>
      <c r="E46" s="108">
        <f t="shared" si="0"/>
        <v>0</v>
      </c>
      <c r="F46" s="84"/>
      <c r="G46" s="108"/>
    </row>
    <row r="47" spans="1:7" s="297" customFormat="1" ht="30" hidden="1" customHeight="1" x14ac:dyDescent="0.25">
      <c r="A47" s="680"/>
      <c r="B47" s="270" t="s">
        <v>477</v>
      </c>
      <c r="C47" s="265">
        <v>2</v>
      </c>
      <c r="D47" s="84">
        <f t="shared" si="0"/>
        <v>0</v>
      </c>
      <c r="E47" s="108">
        <f t="shared" si="0"/>
        <v>0</v>
      </c>
      <c r="F47" s="84"/>
      <c r="G47" s="108"/>
    </row>
    <row r="48" spans="1:7" s="5" customFormat="1" ht="26" hidden="1" customHeight="1" x14ac:dyDescent="0.3">
      <c r="A48" s="678" t="s">
        <v>141</v>
      </c>
      <c r="B48" s="33" t="s">
        <v>243</v>
      </c>
      <c r="C48" s="299">
        <v>2</v>
      </c>
      <c r="D48" s="84">
        <f t="shared" si="0"/>
        <v>0</v>
      </c>
      <c r="E48" s="86">
        <f t="shared" si="0"/>
        <v>0</v>
      </c>
      <c r="F48" s="84"/>
      <c r="G48" s="86"/>
    </row>
    <row r="49" spans="1:7" s="5" customFormat="1" ht="17.399999999999999" hidden="1" customHeight="1" x14ac:dyDescent="0.3">
      <c r="A49" s="679"/>
      <c r="B49" s="6" t="s">
        <v>2</v>
      </c>
      <c r="C49" s="265"/>
      <c r="D49" s="84">
        <f t="shared" si="0"/>
        <v>0</v>
      </c>
      <c r="E49" s="108">
        <f t="shared" si="0"/>
        <v>0</v>
      </c>
      <c r="F49" s="84"/>
      <c r="G49" s="108"/>
    </row>
    <row r="50" spans="1:7" s="5" customFormat="1" ht="26" hidden="1" customHeight="1" x14ac:dyDescent="0.3">
      <c r="A50" s="680"/>
      <c r="B50" s="270" t="s">
        <v>453</v>
      </c>
      <c r="C50" s="300">
        <v>2</v>
      </c>
      <c r="D50" s="84">
        <f t="shared" si="0"/>
        <v>0</v>
      </c>
      <c r="E50" s="108">
        <f t="shared" si="0"/>
        <v>0</v>
      </c>
      <c r="F50" s="84"/>
      <c r="G50" s="108"/>
    </row>
    <row r="51" spans="1:7" s="5" customFormat="1" ht="21.75" hidden="1" customHeight="1" x14ac:dyDescent="0.3">
      <c r="A51" s="678" t="s">
        <v>140</v>
      </c>
      <c r="B51" s="33" t="s">
        <v>18</v>
      </c>
      <c r="C51" s="265"/>
      <c r="D51" s="84">
        <f t="shared" si="0"/>
        <v>0</v>
      </c>
      <c r="E51" s="86">
        <f t="shared" si="0"/>
        <v>0</v>
      </c>
      <c r="F51" s="84"/>
      <c r="G51" s="86"/>
    </row>
    <row r="52" spans="1:7" s="5" customFormat="1" ht="15.75" hidden="1" customHeight="1" x14ac:dyDescent="0.3">
      <c r="A52" s="679"/>
      <c r="B52" s="6" t="s">
        <v>2</v>
      </c>
      <c r="C52" s="265"/>
      <c r="D52" s="84">
        <f t="shared" si="0"/>
        <v>0</v>
      </c>
      <c r="E52" s="108">
        <f t="shared" si="0"/>
        <v>0</v>
      </c>
      <c r="F52" s="84"/>
      <c r="G52" s="108"/>
    </row>
    <row r="53" spans="1:7" s="5" customFormat="1" ht="42" hidden="1" customHeight="1" x14ac:dyDescent="0.3">
      <c r="A53" s="680"/>
      <c r="B53" s="301" t="s">
        <v>478</v>
      </c>
      <c r="C53" s="265">
        <v>4</v>
      </c>
      <c r="D53" s="84">
        <f t="shared" si="0"/>
        <v>0</v>
      </c>
      <c r="E53" s="108">
        <f t="shared" si="0"/>
        <v>0</v>
      </c>
      <c r="F53" s="84"/>
      <c r="G53" s="108"/>
    </row>
    <row r="54" spans="1:7" ht="23.25" customHeight="1" x14ac:dyDescent="0.3">
      <c r="A54" s="678" t="s">
        <v>99</v>
      </c>
      <c r="B54" s="33" t="s">
        <v>16</v>
      </c>
      <c r="C54" s="299">
        <v>6</v>
      </c>
      <c r="D54" s="84">
        <f t="shared" si="0"/>
        <v>3.1440000000000001</v>
      </c>
      <c r="E54" s="86">
        <f t="shared" si="0"/>
        <v>3.1</v>
      </c>
      <c r="F54" s="84">
        <f>F56</f>
        <v>3.1440000000000001</v>
      </c>
      <c r="G54" s="86">
        <f>G56</f>
        <v>3.1</v>
      </c>
    </row>
    <row r="55" spans="1:7" ht="15.75" customHeight="1" x14ac:dyDescent="0.3">
      <c r="A55" s="679"/>
      <c r="B55" s="6" t="s">
        <v>2</v>
      </c>
      <c r="C55" s="265"/>
      <c r="D55" s="84">
        <f t="shared" si="0"/>
        <v>0</v>
      </c>
      <c r="E55" s="108">
        <f t="shared" si="0"/>
        <v>0</v>
      </c>
      <c r="F55" s="84"/>
      <c r="G55" s="108"/>
    </row>
    <row r="56" spans="1:7" ht="32.25" customHeight="1" thickBot="1" x14ac:dyDescent="0.3">
      <c r="A56" s="680"/>
      <c r="B56" s="271" t="s">
        <v>479</v>
      </c>
      <c r="C56" s="300">
        <v>6</v>
      </c>
      <c r="D56" s="149">
        <f>F56</f>
        <v>3.1440000000000001</v>
      </c>
      <c r="E56" s="108">
        <f>G56</f>
        <v>3.1</v>
      </c>
      <c r="F56" s="149">
        <v>3.1440000000000001</v>
      </c>
      <c r="G56" s="108">
        <v>3.1</v>
      </c>
    </row>
    <row r="57" spans="1:7" ht="23.25" hidden="1" customHeight="1" x14ac:dyDescent="0.3">
      <c r="A57" s="678" t="s">
        <v>100</v>
      </c>
      <c r="B57" s="33" t="s">
        <v>155</v>
      </c>
      <c r="C57" s="299">
        <v>6</v>
      </c>
      <c r="D57" s="84"/>
      <c r="E57" s="151"/>
      <c r="F57" s="84"/>
      <c r="G57" s="151"/>
    </row>
    <row r="58" spans="1:7" ht="15.75" hidden="1" customHeight="1" x14ac:dyDescent="0.3">
      <c r="A58" s="679"/>
      <c r="B58" s="6" t="s">
        <v>2</v>
      </c>
      <c r="C58" s="265"/>
      <c r="D58" s="84"/>
      <c r="E58" s="151"/>
      <c r="F58" s="84"/>
      <c r="G58" s="151"/>
    </row>
    <row r="59" spans="1:7" ht="32.25" hidden="1" customHeight="1" x14ac:dyDescent="0.25">
      <c r="A59" s="680"/>
      <c r="B59" s="271" t="s">
        <v>480</v>
      </c>
      <c r="C59" s="300">
        <v>6</v>
      </c>
      <c r="D59" s="274"/>
      <c r="E59" s="133"/>
      <c r="F59" s="274"/>
      <c r="G59" s="133"/>
    </row>
    <row r="60" spans="1:7" ht="15.5" thickBot="1" x14ac:dyDescent="0.35">
      <c r="A60" s="23"/>
      <c r="B60" s="302" t="s">
        <v>379</v>
      </c>
      <c r="C60" s="71"/>
      <c r="D60" s="119">
        <f>SUM(D12,D51,D54,D57,D39,D42,D48,D45)</f>
        <v>306.68800000000005</v>
      </c>
      <c r="E60" s="121">
        <f>SUM(E12,E51,E54,E57,E39,E42,E48,E45)</f>
        <v>54.972000000000001</v>
      </c>
      <c r="F60" s="119">
        <f>SUM(F12,F51,F54,F57,F39,F42,F48,F45)</f>
        <v>304.60700000000008</v>
      </c>
      <c r="G60" s="121">
        <f>SUM(G12,G51,G54,G57,G39,G42,G48,G45)</f>
        <v>54.972000000000001</v>
      </c>
    </row>
    <row r="61" spans="1:7" ht="13" x14ac:dyDescent="0.3">
      <c r="A61" s="681"/>
      <c r="B61" s="303" t="s">
        <v>2</v>
      </c>
      <c r="C61" s="304"/>
      <c r="D61" s="305"/>
      <c r="E61" s="306"/>
      <c r="F61" s="307"/>
      <c r="G61" s="306"/>
    </row>
    <row r="62" spans="1:7" ht="13" x14ac:dyDescent="0.3">
      <c r="A62" s="682"/>
      <c r="B62" s="308" t="s">
        <v>380</v>
      </c>
      <c r="C62" s="309"/>
      <c r="D62" s="149">
        <f>SUM(D14,D15)</f>
        <v>12.762</v>
      </c>
      <c r="E62" s="151">
        <f t="shared" ref="E62:G62" si="1">SUM(E14,E15)</f>
        <v>0</v>
      </c>
      <c r="F62" s="149">
        <f>SUM(F14,F15)</f>
        <v>12.762</v>
      </c>
      <c r="G62" s="151">
        <f t="shared" si="1"/>
        <v>0</v>
      </c>
    </row>
    <row r="63" spans="1:7" ht="13" x14ac:dyDescent="0.3">
      <c r="A63" s="682"/>
      <c r="B63" s="310" t="s">
        <v>381</v>
      </c>
      <c r="C63" s="311"/>
      <c r="D63" s="149">
        <f>SUM(D16,D41,D44,D50,D47)</f>
        <v>50.865000000000002</v>
      </c>
      <c r="E63" s="312">
        <f t="shared" ref="E63:G63" si="2">SUM(E16,E41,E44,E50,E47)</f>
        <v>39.731000000000002</v>
      </c>
      <c r="F63" s="149">
        <f>SUM(F16,F41,F44,F50,F47)</f>
        <v>50.865000000000002</v>
      </c>
      <c r="G63" s="312">
        <f t="shared" si="2"/>
        <v>39.731000000000002</v>
      </c>
    </row>
    <row r="64" spans="1:7" ht="13" x14ac:dyDescent="0.3">
      <c r="A64" s="682"/>
      <c r="B64" s="310" t="s">
        <v>382</v>
      </c>
      <c r="C64" s="311"/>
      <c r="D64" s="149">
        <f>D17+D18</f>
        <v>28.22</v>
      </c>
      <c r="E64" s="151">
        <f t="shared" ref="E64:G64" si="3">E17+E18</f>
        <v>7.2670000000000003</v>
      </c>
      <c r="F64" s="149">
        <f>F17+F18</f>
        <v>28.22</v>
      </c>
      <c r="G64" s="151">
        <f t="shared" si="3"/>
        <v>7.2670000000000003</v>
      </c>
    </row>
    <row r="65" spans="1:7" ht="13" hidden="1" x14ac:dyDescent="0.3">
      <c r="A65" s="682"/>
      <c r="B65" s="310" t="s">
        <v>436</v>
      </c>
      <c r="C65" s="311"/>
      <c r="D65" s="149">
        <f t="shared" ref="D65:G65" si="4">D53</f>
        <v>0</v>
      </c>
      <c r="E65" s="151">
        <f t="shared" si="4"/>
        <v>0</v>
      </c>
      <c r="F65" s="149">
        <f t="shared" si="4"/>
        <v>0</v>
      </c>
      <c r="G65" s="151">
        <f t="shared" si="4"/>
        <v>0</v>
      </c>
    </row>
    <row r="66" spans="1:7" ht="13" x14ac:dyDescent="0.3">
      <c r="A66" s="682"/>
      <c r="B66" s="310" t="s">
        <v>383</v>
      </c>
      <c r="C66" s="311"/>
      <c r="D66" s="149">
        <f>D19+D56+D20+D22+D59+D21</f>
        <v>13.063000000000001</v>
      </c>
      <c r="E66" s="151">
        <f t="shared" ref="E66:G66" si="5">E19+E56+E20+E22+E59+E21</f>
        <v>4.79</v>
      </c>
      <c r="F66" s="149">
        <f>F19+F56+F20+F22+F59+F21</f>
        <v>13.063000000000001</v>
      </c>
      <c r="G66" s="151">
        <f t="shared" si="5"/>
        <v>4.79</v>
      </c>
    </row>
    <row r="67" spans="1:7" ht="12.75" customHeight="1" x14ac:dyDescent="0.3">
      <c r="A67" s="682"/>
      <c r="B67" s="310" t="s">
        <v>384</v>
      </c>
      <c r="C67" s="313"/>
      <c r="D67" s="149">
        <f>D23+D24</f>
        <v>2.081</v>
      </c>
      <c r="E67" s="151">
        <f t="shared" ref="E67:G67" si="6">E23+E24</f>
        <v>0</v>
      </c>
      <c r="F67" s="149">
        <f>F23+F24</f>
        <v>0</v>
      </c>
      <c r="G67" s="151">
        <f t="shared" si="6"/>
        <v>0</v>
      </c>
    </row>
    <row r="68" spans="1:7" ht="12.75" hidden="1" customHeight="1" x14ac:dyDescent="0.3">
      <c r="A68" s="682"/>
      <c r="B68" s="310" t="s">
        <v>438</v>
      </c>
      <c r="C68" s="313"/>
      <c r="D68" s="149">
        <f t="shared" ref="D68:G68" si="7">D25</f>
        <v>0</v>
      </c>
      <c r="E68" s="151">
        <f t="shared" si="7"/>
        <v>0</v>
      </c>
      <c r="F68" s="149">
        <f t="shared" si="7"/>
        <v>0</v>
      </c>
      <c r="G68" s="151">
        <f t="shared" si="7"/>
        <v>0</v>
      </c>
    </row>
    <row r="69" spans="1:7" ht="13" x14ac:dyDescent="0.3">
      <c r="A69" s="682"/>
      <c r="B69" s="310" t="s">
        <v>385</v>
      </c>
      <c r="C69" s="311"/>
      <c r="D69" s="149">
        <f>SUM(D26:D29)</f>
        <v>91.414000000000001</v>
      </c>
      <c r="E69" s="312">
        <f t="shared" ref="E69:G69" si="8">SUM(E26:E29)</f>
        <v>0</v>
      </c>
      <c r="F69" s="149">
        <f>SUM(F26:F29)</f>
        <v>91.414000000000001</v>
      </c>
      <c r="G69" s="312">
        <f t="shared" si="8"/>
        <v>0</v>
      </c>
    </row>
    <row r="70" spans="1:7" ht="13.5" thickBot="1" x14ac:dyDescent="0.35">
      <c r="A70" s="683"/>
      <c r="B70" s="314" t="s">
        <v>439</v>
      </c>
      <c r="C70" s="315"/>
      <c r="D70" s="316">
        <f>D37+D34+D33+D32+D35</f>
        <v>108.283</v>
      </c>
      <c r="E70" s="317">
        <f t="shared" ref="E70:G70" si="9">E37+E34+E33+E32+E35</f>
        <v>3.1840000000000002</v>
      </c>
      <c r="F70" s="316">
        <f>F37+F34+F33+F32+F35</f>
        <v>108.283</v>
      </c>
      <c r="G70" s="317">
        <f t="shared" si="9"/>
        <v>3.1840000000000002</v>
      </c>
    </row>
    <row r="71" spans="1:7" x14ac:dyDescent="0.25">
      <c r="C71" s="318"/>
      <c r="D71" s="319"/>
      <c r="E71" s="319"/>
    </row>
  </sheetData>
  <mergeCells count="19">
    <mergeCell ref="A54:A56"/>
    <mergeCell ref="A57:A59"/>
    <mergeCell ref="A61:A70"/>
    <mergeCell ref="A12:A38"/>
    <mergeCell ref="A39:A41"/>
    <mergeCell ref="A42:A44"/>
    <mergeCell ref="A45:A47"/>
    <mergeCell ref="A48:A50"/>
    <mergeCell ref="A51:A53"/>
    <mergeCell ref="A6:G6"/>
    <mergeCell ref="A8:A10"/>
    <mergeCell ref="B8:B10"/>
    <mergeCell ref="C8:C10"/>
    <mergeCell ref="D8:E8"/>
    <mergeCell ref="F8:G8"/>
    <mergeCell ref="D9:D10"/>
    <mergeCell ref="E9:E10"/>
    <mergeCell ref="F9:F10"/>
    <mergeCell ref="G9:G10"/>
  </mergeCells>
  <conditionalFormatting sqref="D60:G61">
    <cfRule type="cellIs" dxfId="102" priority="19" stopIfTrue="1" operator="equal">
      <formula>0</formula>
    </cfRule>
  </conditionalFormatting>
  <conditionalFormatting sqref="D13:E56">
    <cfRule type="cellIs" dxfId="101" priority="18" stopIfTrue="1" operator="equal">
      <formula>0</formula>
    </cfRule>
  </conditionalFormatting>
  <conditionalFormatting sqref="D57:E58">
    <cfRule type="cellIs" dxfId="100" priority="17" stopIfTrue="1" operator="equal">
      <formula>0</formula>
    </cfRule>
  </conditionalFormatting>
  <conditionalFormatting sqref="D59:E59">
    <cfRule type="cellIs" dxfId="99" priority="16" stopIfTrue="1" operator="equal">
      <formula>0</formula>
    </cfRule>
  </conditionalFormatting>
  <conditionalFormatting sqref="D62:E64 D67:E68">
    <cfRule type="cellIs" dxfId="98" priority="15" stopIfTrue="1" operator="equal">
      <formula>0</formula>
    </cfRule>
  </conditionalFormatting>
  <conditionalFormatting sqref="D66:E66">
    <cfRule type="cellIs" dxfId="97" priority="14" stopIfTrue="1" operator="equal">
      <formula>0</formula>
    </cfRule>
  </conditionalFormatting>
  <conditionalFormatting sqref="D69:E69">
    <cfRule type="cellIs" dxfId="96" priority="13" stopIfTrue="1" operator="equal">
      <formula>0</formula>
    </cfRule>
  </conditionalFormatting>
  <conditionalFormatting sqref="D70:E70">
    <cfRule type="cellIs" dxfId="95" priority="12" stopIfTrue="1" operator="equal">
      <formula>0</formula>
    </cfRule>
  </conditionalFormatting>
  <conditionalFormatting sqref="D65:E65">
    <cfRule type="cellIs" dxfId="94" priority="11" stopIfTrue="1" operator="equal">
      <formula>0</formula>
    </cfRule>
  </conditionalFormatting>
  <conditionalFormatting sqref="D12:E12">
    <cfRule type="cellIs" dxfId="93" priority="10" stopIfTrue="1" operator="equal">
      <formula>0</formula>
    </cfRule>
  </conditionalFormatting>
  <conditionalFormatting sqref="F62:G64 F67:G68">
    <cfRule type="cellIs" dxfId="92" priority="9" stopIfTrue="1" operator="equal">
      <formula>0</formula>
    </cfRule>
  </conditionalFormatting>
  <conditionalFormatting sqref="F66:G66">
    <cfRule type="cellIs" dxfId="91" priority="8" stopIfTrue="1" operator="equal">
      <formula>0</formula>
    </cfRule>
  </conditionalFormatting>
  <conditionalFormatting sqref="F69:G69">
    <cfRule type="cellIs" dxfId="90" priority="7" stopIfTrue="1" operator="equal">
      <formula>0</formula>
    </cfRule>
  </conditionalFormatting>
  <conditionalFormatting sqref="F70:G70">
    <cfRule type="cellIs" dxfId="89" priority="6" stopIfTrue="1" operator="equal">
      <formula>0</formula>
    </cfRule>
  </conditionalFormatting>
  <conditionalFormatting sqref="F65:G65">
    <cfRule type="cellIs" dxfId="88" priority="5" stopIfTrue="1" operator="equal">
      <formula>0</formula>
    </cfRule>
  </conditionalFormatting>
  <conditionalFormatting sqref="F13:G56">
    <cfRule type="cellIs" dxfId="87" priority="4" stopIfTrue="1" operator="equal">
      <formula>0</formula>
    </cfRule>
  </conditionalFormatting>
  <conditionalFormatting sqref="F57:G58">
    <cfRule type="cellIs" dxfId="86" priority="3" stopIfTrue="1" operator="equal">
      <formula>0</formula>
    </cfRule>
  </conditionalFormatting>
  <conditionalFormatting sqref="F59:G59">
    <cfRule type="cellIs" dxfId="85" priority="2" stopIfTrue="1" operator="equal">
      <formula>0</formula>
    </cfRule>
  </conditionalFormatting>
  <conditionalFormatting sqref="F12:G12">
    <cfRule type="cellIs" dxfId="84" priority="1" stopIfTrue="1" operator="equal">
      <formula>0</formula>
    </cfRule>
  </conditionalFormatting>
  <pageMargins left="0.70866141732283472" right="0.31496062992125984" top="0.74803149606299213" bottom="0.74803149606299213" header="0.31496062992125984" footer="0.31496062992125984"/>
  <pageSetup paperSize="9" scale="82" fitToHeight="0"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T207"/>
  <sheetViews>
    <sheetView zoomScale="115" zoomScaleNormal="115" workbookViewId="0">
      <pane ySplit="9" topLeftCell="A72" activePane="bottomLeft" state="frozen"/>
      <selection pane="bottomLeft" activeCell="EP83" sqref="EP83"/>
    </sheetView>
  </sheetViews>
  <sheetFormatPr defaultColWidth="9.36328125" defaultRowHeight="11.5" x14ac:dyDescent="0.25"/>
  <cols>
    <col min="1" max="1" width="5.90625" style="8" customWidth="1"/>
    <col min="2" max="2" width="49.453125" style="1" customWidth="1"/>
    <col min="3" max="3" width="5.90625" style="10" customWidth="1"/>
    <col min="4" max="4" width="5.08984375" style="10" customWidth="1"/>
    <col min="5" max="8" width="10.54296875" style="7" customWidth="1"/>
    <col min="9" max="23" width="10.54296875" style="7" hidden="1" customWidth="1"/>
    <col min="24" max="24" width="9.36328125" style="7" hidden="1" customWidth="1"/>
    <col min="25" max="27" width="10.54296875" style="7" hidden="1" customWidth="1"/>
    <col min="28" max="28" width="9.6328125" style="7" hidden="1" customWidth="1"/>
    <col min="29" max="29" width="8.90625" style="7" hidden="1" customWidth="1"/>
    <col min="30" max="30" width="10.54296875" style="7" hidden="1" customWidth="1"/>
    <col min="31" max="31" width="10" style="7" hidden="1" customWidth="1"/>
    <col min="32" max="32" width="9.54296875" style="7" hidden="1" customWidth="1"/>
    <col min="33" max="36" width="10.54296875" style="7" hidden="1" customWidth="1"/>
    <col min="37" max="37" width="10" style="7" hidden="1" customWidth="1"/>
    <col min="38" max="40" width="10.54296875" style="7" hidden="1" customWidth="1"/>
    <col min="41" max="41" width="9.90625" style="7" hidden="1" customWidth="1"/>
    <col min="42" max="43" width="10.54296875" style="7" hidden="1" customWidth="1"/>
    <col min="44" max="45" width="8.90625" style="7" hidden="1" customWidth="1"/>
    <col min="46" max="46" width="10.54296875" style="7" hidden="1" customWidth="1"/>
    <col min="47" max="47" width="10" style="7" hidden="1" customWidth="1"/>
    <col min="48" max="48" width="9.54296875" style="7" hidden="1" customWidth="1"/>
    <col min="49" max="52" width="10.54296875" style="7" hidden="1" customWidth="1"/>
    <col min="53" max="53" width="10" style="7" hidden="1" customWidth="1"/>
    <col min="54" max="56" width="10.54296875" style="7" hidden="1" customWidth="1"/>
    <col min="57" max="57" width="9.90625" style="7" hidden="1" customWidth="1"/>
    <col min="58" max="59" width="10.54296875" style="7" hidden="1" customWidth="1"/>
    <col min="60" max="61" width="8.90625" style="7" hidden="1" customWidth="1"/>
    <col min="62" max="62" width="10.54296875" style="7" hidden="1" customWidth="1"/>
    <col min="63" max="63" width="10" style="7" hidden="1" customWidth="1"/>
    <col min="64" max="64" width="9.54296875" style="7" hidden="1" customWidth="1"/>
    <col min="65" max="68" width="10.54296875" style="7" hidden="1" customWidth="1"/>
    <col min="69" max="69" width="10" style="7" hidden="1" customWidth="1"/>
    <col min="70" max="72" width="10.54296875" style="7" hidden="1" customWidth="1"/>
    <col min="73" max="73" width="9.90625" style="7" hidden="1" customWidth="1"/>
    <col min="74" max="75" width="10.54296875" style="7" hidden="1" customWidth="1"/>
    <col min="76" max="77" width="8.90625" style="7" hidden="1" customWidth="1"/>
    <col min="78" max="78" width="10.54296875" style="7" hidden="1" customWidth="1"/>
    <col min="79" max="79" width="10" style="7" hidden="1" customWidth="1"/>
    <col min="80" max="80" width="9.54296875" style="7" hidden="1" customWidth="1"/>
    <col min="81" max="84" width="10.54296875" style="7" hidden="1" customWidth="1"/>
    <col min="85" max="85" width="10" style="7" hidden="1" customWidth="1"/>
    <col min="86" max="88" width="10.54296875" style="7" hidden="1" customWidth="1"/>
    <col min="89" max="89" width="9.90625" style="7" hidden="1" customWidth="1"/>
    <col min="90" max="91" width="10.54296875" style="7" hidden="1" customWidth="1"/>
    <col min="92" max="93" width="8.90625" style="7" hidden="1" customWidth="1"/>
    <col min="94" max="94" width="10.54296875" style="7" hidden="1" customWidth="1"/>
    <col min="95" max="95" width="10" style="7" hidden="1" customWidth="1"/>
    <col min="96" max="96" width="9.54296875" style="7" hidden="1" customWidth="1"/>
    <col min="97" max="100" width="10.54296875" style="7" hidden="1" customWidth="1"/>
    <col min="101" max="101" width="10" style="7" hidden="1" customWidth="1"/>
    <col min="102" max="104" width="10.54296875" style="7" hidden="1" customWidth="1"/>
    <col min="105" max="105" width="9.90625" style="7" hidden="1" customWidth="1"/>
    <col min="106" max="107" width="10.54296875" style="7" hidden="1" customWidth="1"/>
    <col min="108" max="109" width="8.90625" style="7" hidden="1" customWidth="1"/>
    <col min="110" max="110" width="10.54296875" style="7" hidden="1" customWidth="1"/>
    <col min="111" max="111" width="10" style="7" hidden="1" customWidth="1"/>
    <col min="112" max="112" width="9.54296875" style="7" hidden="1" customWidth="1"/>
    <col min="113" max="116" width="10.54296875" style="7" hidden="1" customWidth="1"/>
    <col min="117" max="117" width="10" style="7" hidden="1" customWidth="1"/>
    <col min="118" max="120" width="10.54296875" style="7" hidden="1" customWidth="1"/>
    <col min="121" max="121" width="9.90625" style="7" hidden="1" customWidth="1"/>
    <col min="122" max="123" width="10.54296875" style="7" hidden="1" customWidth="1"/>
    <col min="124" max="125" width="8.90625" style="7" hidden="1" customWidth="1"/>
    <col min="126" max="126" width="10.54296875" style="7" hidden="1" customWidth="1"/>
    <col min="127" max="127" width="10" style="7" hidden="1" customWidth="1"/>
    <col min="128" max="128" width="9.54296875" style="7" hidden="1" customWidth="1"/>
    <col min="129" max="132" width="10.54296875" style="7" hidden="1" customWidth="1"/>
    <col min="133" max="133" width="10" style="7" customWidth="1"/>
    <col min="134" max="136" width="10.54296875" style="7" customWidth="1"/>
    <col min="137" max="137" width="9.90625" style="7" hidden="1" customWidth="1"/>
    <col min="138" max="139" width="10.54296875" style="7" hidden="1" customWidth="1"/>
    <col min="140" max="140" width="8.90625" style="7" hidden="1" customWidth="1"/>
    <col min="141" max="142" width="8.90625" style="7" customWidth="1"/>
    <col min="143" max="146" width="10.54296875" style="7" customWidth="1"/>
    <col min="147" max="150" width="0" style="1" hidden="1" customWidth="1"/>
    <col min="151" max="16384" width="9.36328125" style="1"/>
  </cols>
  <sheetData>
    <row r="1" spans="1:150" x14ac:dyDescent="0.25">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row>
    <row r="2" spans="1:150" ht="18" customHeight="1" x14ac:dyDescent="0.3">
      <c r="A2" s="735" t="s">
        <v>214</v>
      </c>
      <c r="B2" s="735"/>
      <c r="C2" s="735"/>
      <c r="D2" s="735"/>
      <c r="E2" s="735"/>
      <c r="F2" s="735"/>
      <c r="G2" s="735"/>
      <c r="H2" s="735"/>
      <c r="I2" s="735"/>
      <c r="J2" s="735"/>
      <c r="K2" s="735"/>
      <c r="L2" s="735"/>
      <c r="M2" s="735"/>
      <c r="N2" s="735"/>
      <c r="O2" s="735"/>
      <c r="P2" s="735"/>
      <c r="Q2" s="735"/>
      <c r="R2" s="735"/>
      <c r="S2" s="735"/>
      <c r="T2" s="735"/>
      <c r="U2" s="735"/>
      <c r="V2" s="735"/>
      <c r="W2" s="735"/>
      <c r="X2" s="735"/>
      <c r="Y2" s="735"/>
      <c r="Z2" s="735"/>
      <c r="AA2" s="735"/>
      <c r="AB2" s="735"/>
      <c r="AC2" s="735"/>
      <c r="AD2" s="735"/>
      <c r="AE2" s="735"/>
      <c r="AF2" s="735"/>
      <c r="AG2" s="735"/>
      <c r="AH2" s="735"/>
      <c r="AI2" s="735"/>
      <c r="AJ2" s="735"/>
      <c r="AK2" s="735"/>
      <c r="AL2" s="735"/>
      <c r="AM2" s="735"/>
      <c r="AN2" s="735"/>
      <c r="AO2" s="735"/>
      <c r="AP2" s="735"/>
      <c r="AQ2" s="735"/>
      <c r="AR2" s="735"/>
      <c r="AS2" s="735"/>
      <c r="AT2" s="735"/>
      <c r="AU2" s="735"/>
      <c r="AV2" s="735"/>
      <c r="AW2" s="735"/>
      <c r="AX2" s="735"/>
      <c r="AY2" s="735"/>
      <c r="AZ2" s="735"/>
      <c r="BA2" s="735"/>
      <c r="BB2" s="735"/>
      <c r="BC2" s="735"/>
      <c r="BD2" s="735"/>
      <c r="BE2" s="735"/>
      <c r="BF2" s="735"/>
      <c r="BG2" s="735"/>
      <c r="BH2" s="735"/>
      <c r="BI2" s="735"/>
      <c r="BJ2" s="735"/>
      <c r="BK2" s="735"/>
      <c r="BL2" s="735"/>
      <c r="BM2" s="735"/>
      <c r="BN2" s="735"/>
      <c r="BO2" s="735"/>
      <c r="BP2" s="735"/>
      <c r="BQ2" s="735"/>
      <c r="BR2" s="735"/>
      <c r="BS2" s="735"/>
      <c r="BT2" s="735"/>
      <c r="BU2" s="735"/>
      <c r="BV2" s="735"/>
      <c r="BW2" s="735"/>
      <c r="BX2" s="735"/>
      <c r="BY2" s="735"/>
      <c r="BZ2" s="735"/>
      <c r="CA2" s="735"/>
      <c r="CB2" s="735"/>
      <c r="CC2" s="735"/>
      <c r="CD2" s="735"/>
      <c r="CE2" s="735"/>
      <c r="CF2" s="735"/>
      <c r="CG2" s="735"/>
      <c r="CH2" s="735"/>
      <c r="CI2" s="735"/>
      <c r="CJ2" s="735"/>
      <c r="CK2" s="735"/>
      <c r="CL2" s="735"/>
      <c r="CM2" s="735"/>
      <c r="CN2" s="735"/>
      <c r="CO2" s="735"/>
      <c r="CP2" s="735"/>
      <c r="CQ2" s="735"/>
      <c r="CR2" s="735"/>
      <c r="CS2" s="735"/>
      <c r="CT2" s="735"/>
      <c r="CU2" s="735"/>
      <c r="CV2" s="735"/>
      <c r="CW2" s="735"/>
      <c r="CX2" s="735"/>
      <c r="CY2" s="735"/>
      <c r="CZ2" s="735"/>
      <c r="DA2" s="735"/>
      <c r="DB2" s="735"/>
      <c r="DC2" s="735"/>
      <c r="DD2" s="735"/>
      <c r="DE2" s="735"/>
      <c r="DF2" s="735"/>
      <c r="DG2" s="735"/>
      <c r="DH2" s="735"/>
      <c r="DI2" s="735"/>
      <c r="DJ2" s="735"/>
      <c r="DK2" s="735"/>
      <c r="DL2" s="735"/>
      <c r="DM2" s="735"/>
      <c r="DN2" s="735"/>
      <c r="DO2" s="735"/>
      <c r="DP2" s="735"/>
      <c r="DQ2" s="735"/>
      <c r="DR2" s="735"/>
      <c r="DS2" s="735"/>
      <c r="DT2" s="735"/>
      <c r="DU2" s="735"/>
      <c r="DV2" s="735"/>
      <c r="DW2" s="735"/>
      <c r="DX2" s="735"/>
      <c r="DY2" s="735"/>
      <c r="DZ2" s="735"/>
      <c r="EA2" s="735"/>
      <c r="EB2" s="735"/>
      <c r="EC2" s="735"/>
      <c r="ED2" s="735"/>
      <c r="EE2" s="735"/>
      <c r="EF2" s="735"/>
      <c r="EG2" s="735"/>
      <c r="EH2" s="735"/>
      <c r="EI2" s="735"/>
      <c r="EJ2" s="735"/>
      <c r="EK2" s="735"/>
      <c r="EL2" s="735"/>
      <c r="EM2" s="735"/>
      <c r="EN2" s="735"/>
      <c r="EO2" s="735"/>
      <c r="EP2" s="735"/>
    </row>
    <row r="3" spans="1:150" ht="18" customHeight="1" x14ac:dyDescent="0.3">
      <c r="A3" s="137"/>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row>
    <row r="4" spans="1:150" ht="13.25" customHeight="1" thickBot="1" x14ac:dyDescent="0.35">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1"/>
      <c r="AC4" s="137"/>
      <c r="AD4" s="137"/>
      <c r="AE4" s="137"/>
      <c r="AF4" s="137"/>
      <c r="AG4" s="137"/>
      <c r="AH4" s="137"/>
      <c r="AI4" s="137"/>
      <c r="AJ4" s="137"/>
      <c r="AK4" s="137"/>
      <c r="AL4" s="137"/>
      <c r="AM4" s="137"/>
      <c r="AN4" s="137"/>
      <c r="AO4" s="137"/>
      <c r="AP4" s="137"/>
      <c r="AQ4" s="137"/>
      <c r="AR4" s="11"/>
      <c r="AS4" s="137"/>
      <c r="AT4" s="137"/>
      <c r="AU4" s="137"/>
      <c r="AV4" s="137"/>
      <c r="AW4" s="137"/>
      <c r="AX4" s="137"/>
      <c r="AY4" s="137"/>
      <c r="AZ4" s="137"/>
      <c r="BA4" s="137"/>
      <c r="BB4" s="137"/>
      <c r="BC4" s="137"/>
      <c r="BD4" s="137"/>
      <c r="BE4" s="137"/>
      <c r="BF4" s="137"/>
      <c r="BG4" s="137"/>
      <c r="BH4" s="11"/>
      <c r="BI4" s="137"/>
      <c r="BJ4" s="137"/>
      <c r="BK4" s="137"/>
      <c r="BL4" s="137"/>
      <c r="BM4" s="137"/>
      <c r="BN4" s="137"/>
      <c r="BO4" s="137"/>
      <c r="BP4" s="137"/>
      <c r="BQ4" s="137"/>
      <c r="BR4" s="137"/>
      <c r="BS4" s="137"/>
      <c r="BT4" s="137"/>
      <c r="BU4" s="137"/>
      <c r="BV4" s="137"/>
      <c r="BW4" s="137"/>
      <c r="BX4" s="11"/>
      <c r="BY4" s="137"/>
      <c r="BZ4" s="137"/>
      <c r="CA4" s="137"/>
      <c r="CB4" s="137"/>
      <c r="CC4" s="137"/>
      <c r="CD4" s="137"/>
      <c r="CE4" s="137"/>
      <c r="CF4" s="137"/>
      <c r="CG4" s="137"/>
      <c r="CH4" s="137"/>
      <c r="CI4" s="137"/>
      <c r="CJ4" s="137"/>
      <c r="CK4" s="137"/>
      <c r="CL4" s="137"/>
      <c r="CM4" s="137"/>
      <c r="CN4" s="11"/>
      <c r="CO4" s="137"/>
      <c r="CP4" s="137"/>
      <c r="CQ4" s="137"/>
      <c r="CR4" s="137"/>
      <c r="CS4" s="137"/>
      <c r="CT4" s="137"/>
      <c r="CU4" s="137"/>
      <c r="CV4" s="137"/>
      <c r="CW4" s="137"/>
      <c r="CX4" s="137"/>
      <c r="CY4" s="137"/>
      <c r="CZ4" s="137"/>
      <c r="DA4" s="137"/>
      <c r="DB4" s="137"/>
      <c r="DC4" s="137"/>
      <c r="DD4" s="11"/>
      <c r="DE4" s="137"/>
      <c r="DF4" s="137"/>
      <c r="DG4" s="137"/>
      <c r="DH4" s="137"/>
      <c r="DI4" s="137"/>
      <c r="DJ4" s="137"/>
      <c r="DK4" s="137"/>
      <c r="DL4" s="137"/>
      <c r="DM4" s="137"/>
      <c r="DN4" s="137"/>
      <c r="DO4" s="137"/>
      <c r="DP4" s="137"/>
      <c r="DQ4" s="137"/>
      <c r="DR4" s="137"/>
      <c r="DS4" s="137"/>
      <c r="DT4" s="11"/>
      <c r="DU4" s="137"/>
      <c r="DV4" s="137"/>
      <c r="DW4" s="137"/>
      <c r="DX4" s="137"/>
      <c r="DY4" s="137"/>
      <c r="DZ4" s="137"/>
      <c r="EA4" s="137"/>
      <c r="EB4" s="137"/>
      <c r="EC4" s="137"/>
      <c r="ED4" s="137"/>
      <c r="EE4" s="137"/>
      <c r="EF4" s="11"/>
      <c r="EG4" s="137"/>
      <c r="EH4" s="137"/>
      <c r="EI4" s="137"/>
      <c r="EJ4" s="11" t="s">
        <v>154</v>
      </c>
      <c r="EK4" s="11"/>
      <c r="EL4" s="11"/>
      <c r="EM4" s="137"/>
      <c r="EN4" s="137"/>
      <c r="EO4" s="137"/>
      <c r="EP4" s="11" t="s">
        <v>154</v>
      </c>
    </row>
    <row r="5" spans="1:150" ht="24" customHeight="1" thickBot="1" x14ac:dyDescent="0.3">
      <c r="E5" s="691" t="s">
        <v>215</v>
      </c>
      <c r="F5" s="692"/>
      <c r="G5" s="692"/>
      <c r="H5" s="692"/>
      <c r="I5" s="692"/>
      <c r="J5" s="692"/>
      <c r="K5" s="692"/>
      <c r="L5" s="693"/>
      <c r="M5" s="688" t="s">
        <v>193</v>
      </c>
      <c r="N5" s="689"/>
      <c r="O5" s="689"/>
      <c r="P5" s="689"/>
      <c r="Q5" s="689"/>
      <c r="R5" s="689"/>
      <c r="S5" s="689"/>
      <c r="T5" s="690"/>
      <c r="U5" s="691" t="s">
        <v>203</v>
      </c>
      <c r="V5" s="692"/>
      <c r="W5" s="692"/>
      <c r="X5" s="692"/>
      <c r="Y5" s="692"/>
      <c r="Z5" s="692"/>
      <c r="AA5" s="692"/>
      <c r="AB5" s="693"/>
      <c r="AC5" s="688" t="s">
        <v>193</v>
      </c>
      <c r="AD5" s="689"/>
      <c r="AE5" s="689"/>
      <c r="AF5" s="689"/>
      <c r="AG5" s="689"/>
      <c r="AH5" s="689"/>
      <c r="AI5" s="689"/>
      <c r="AJ5" s="690"/>
      <c r="AK5" s="691" t="s">
        <v>205</v>
      </c>
      <c r="AL5" s="692"/>
      <c r="AM5" s="692"/>
      <c r="AN5" s="692"/>
      <c r="AO5" s="692"/>
      <c r="AP5" s="692"/>
      <c r="AQ5" s="692"/>
      <c r="AR5" s="693"/>
      <c r="AS5" s="688" t="s">
        <v>193</v>
      </c>
      <c r="AT5" s="689"/>
      <c r="AU5" s="689"/>
      <c r="AV5" s="689"/>
      <c r="AW5" s="689"/>
      <c r="AX5" s="689"/>
      <c r="AY5" s="689"/>
      <c r="AZ5" s="690"/>
      <c r="BA5" s="691" t="s">
        <v>206</v>
      </c>
      <c r="BB5" s="692"/>
      <c r="BC5" s="692"/>
      <c r="BD5" s="692"/>
      <c r="BE5" s="692"/>
      <c r="BF5" s="692"/>
      <c r="BG5" s="692"/>
      <c r="BH5" s="693"/>
      <c r="BI5" s="688" t="s">
        <v>193</v>
      </c>
      <c r="BJ5" s="689"/>
      <c r="BK5" s="689"/>
      <c r="BL5" s="689"/>
      <c r="BM5" s="689"/>
      <c r="BN5" s="689"/>
      <c r="BO5" s="689"/>
      <c r="BP5" s="690"/>
      <c r="BQ5" s="691" t="s">
        <v>208</v>
      </c>
      <c r="BR5" s="692"/>
      <c r="BS5" s="692"/>
      <c r="BT5" s="692"/>
      <c r="BU5" s="692"/>
      <c r="BV5" s="692"/>
      <c r="BW5" s="692"/>
      <c r="BX5" s="693"/>
      <c r="BY5" s="688" t="s">
        <v>193</v>
      </c>
      <c r="BZ5" s="689"/>
      <c r="CA5" s="689"/>
      <c r="CB5" s="689"/>
      <c r="CC5" s="689"/>
      <c r="CD5" s="689"/>
      <c r="CE5" s="689"/>
      <c r="CF5" s="690"/>
      <c r="CG5" s="691" t="s">
        <v>210</v>
      </c>
      <c r="CH5" s="692"/>
      <c r="CI5" s="692"/>
      <c r="CJ5" s="692"/>
      <c r="CK5" s="692"/>
      <c r="CL5" s="692"/>
      <c r="CM5" s="692"/>
      <c r="CN5" s="693"/>
      <c r="CO5" s="688" t="s">
        <v>193</v>
      </c>
      <c r="CP5" s="689"/>
      <c r="CQ5" s="689"/>
      <c r="CR5" s="689"/>
      <c r="CS5" s="689"/>
      <c r="CT5" s="689"/>
      <c r="CU5" s="689"/>
      <c r="CV5" s="690"/>
      <c r="CW5" s="691" t="s">
        <v>212</v>
      </c>
      <c r="CX5" s="692"/>
      <c r="CY5" s="692"/>
      <c r="CZ5" s="692"/>
      <c r="DA5" s="692"/>
      <c r="DB5" s="692"/>
      <c r="DC5" s="692"/>
      <c r="DD5" s="693"/>
      <c r="DE5" s="688" t="s">
        <v>193</v>
      </c>
      <c r="DF5" s="689"/>
      <c r="DG5" s="689"/>
      <c r="DH5" s="689"/>
      <c r="DI5" s="689"/>
      <c r="DJ5" s="689"/>
      <c r="DK5" s="689"/>
      <c r="DL5" s="690"/>
      <c r="DM5" s="691" t="s">
        <v>213</v>
      </c>
      <c r="DN5" s="692"/>
      <c r="DO5" s="692"/>
      <c r="DP5" s="692"/>
      <c r="DQ5" s="692"/>
      <c r="DR5" s="692"/>
      <c r="DS5" s="692"/>
      <c r="DT5" s="693"/>
      <c r="DU5" s="688" t="s">
        <v>193</v>
      </c>
      <c r="DV5" s="689"/>
      <c r="DW5" s="689"/>
      <c r="DX5" s="689"/>
      <c r="DY5" s="689"/>
      <c r="DZ5" s="689"/>
      <c r="EA5" s="689"/>
      <c r="EB5" s="690"/>
      <c r="EC5" s="691" t="s">
        <v>216</v>
      </c>
      <c r="ED5" s="692"/>
      <c r="EE5" s="692"/>
      <c r="EF5" s="692"/>
      <c r="EG5" s="692"/>
      <c r="EH5" s="692"/>
      <c r="EI5" s="692"/>
      <c r="EJ5" s="693"/>
      <c r="EK5" s="732" t="s">
        <v>228</v>
      </c>
      <c r="EL5" s="732" t="s">
        <v>229</v>
      </c>
      <c r="EM5" s="692" t="s">
        <v>217</v>
      </c>
      <c r="EN5" s="692"/>
      <c r="EO5" s="692"/>
      <c r="EP5" s="693"/>
    </row>
    <row r="6" spans="1:150" s="2" customFormat="1" ht="18" customHeight="1" x14ac:dyDescent="0.25">
      <c r="A6" s="664" t="s">
        <v>96</v>
      </c>
      <c r="B6" s="646" t="s">
        <v>25</v>
      </c>
      <c r="C6" s="643" t="s">
        <v>6</v>
      </c>
      <c r="D6" s="726" t="s">
        <v>36</v>
      </c>
      <c r="E6" s="729" t="s">
        <v>0</v>
      </c>
      <c r="F6" s="730" t="s">
        <v>5</v>
      </c>
      <c r="G6" s="729"/>
      <c r="H6" s="731"/>
      <c r="I6" s="729" t="s">
        <v>0</v>
      </c>
      <c r="J6" s="730" t="s">
        <v>198</v>
      </c>
      <c r="K6" s="729"/>
      <c r="L6" s="731"/>
      <c r="M6" s="694" t="s">
        <v>0</v>
      </c>
      <c r="N6" s="658" t="s">
        <v>5</v>
      </c>
      <c r="O6" s="694"/>
      <c r="P6" s="659"/>
      <c r="Q6" s="694" t="s">
        <v>0</v>
      </c>
      <c r="R6" s="658" t="s">
        <v>198</v>
      </c>
      <c r="S6" s="694"/>
      <c r="T6" s="659"/>
      <c r="U6" s="694" t="s">
        <v>0</v>
      </c>
      <c r="V6" s="658" t="s">
        <v>5</v>
      </c>
      <c r="W6" s="694"/>
      <c r="X6" s="659"/>
      <c r="Y6" s="694" t="s">
        <v>0</v>
      </c>
      <c r="Z6" s="658" t="s">
        <v>198</v>
      </c>
      <c r="AA6" s="694"/>
      <c r="AB6" s="659"/>
      <c r="AC6" s="694" t="s">
        <v>0</v>
      </c>
      <c r="AD6" s="658" t="s">
        <v>5</v>
      </c>
      <c r="AE6" s="694"/>
      <c r="AF6" s="659"/>
      <c r="AG6" s="694" t="s">
        <v>0</v>
      </c>
      <c r="AH6" s="658" t="s">
        <v>198</v>
      </c>
      <c r="AI6" s="694"/>
      <c r="AJ6" s="659"/>
      <c r="AK6" s="694" t="s">
        <v>0</v>
      </c>
      <c r="AL6" s="658" t="s">
        <v>5</v>
      </c>
      <c r="AM6" s="694"/>
      <c r="AN6" s="659"/>
      <c r="AO6" s="694" t="s">
        <v>0</v>
      </c>
      <c r="AP6" s="658" t="s">
        <v>198</v>
      </c>
      <c r="AQ6" s="694"/>
      <c r="AR6" s="659"/>
      <c r="AS6" s="694" t="s">
        <v>0</v>
      </c>
      <c r="AT6" s="658" t="s">
        <v>5</v>
      </c>
      <c r="AU6" s="694"/>
      <c r="AV6" s="659"/>
      <c r="AW6" s="694" t="s">
        <v>0</v>
      </c>
      <c r="AX6" s="658" t="s">
        <v>198</v>
      </c>
      <c r="AY6" s="694"/>
      <c r="AZ6" s="659"/>
      <c r="BA6" s="694" t="s">
        <v>0</v>
      </c>
      <c r="BB6" s="658" t="s">
        <v>5</v>
      </c>
      <c r="BC6" s="694"/>
      <c r="BD6" s="659"/>
      <c r="BE6" s="694" t="s">
        <v>0</v>
      </c>
      <c r="BF6" s="658" t="s">
        <v>198</v>
      </c>
      <c r="BG6" s="694"/>
      <c r="BH6" s="659"/>
      <c r="BI6" s="694" t="s">
        <v>0</v>
      </c>
      <c r="BJ6" s="658" t="s">
        <v>5</v>
      </c>
      <c r="BK6" s="694"/>
      <c r="BL6" s="659"/>
      <c r="BM6" s="694" t="s">
        <v>0</v>
      </c>
      <c r="BN6" s="658" t="s">
        <v>198</v>
      </c>
      <c r="BO6" s="694"/>
      <c r="BP6" s="659"/>
      <c r="BQ6" s="694" t="s">
        <v>0</v>
      </c>
      <c r="BR6" s="658" t="s">
        <v>5</v>
      </c>
      <c r="BS6" s="694"/>
      <c r="BT6" s="659"/>
      <c r="BU6" s="694" t="s">
        <v>0</v>
      </c>
      <c r="BV6" s="658" t="s">
        <v>198</v>
      </c>
      <c r="BW6" s="694"/>
      <c r="BX6" s="659"/>
      <c r="BY6" s="694" t="s">
        <v>0</v>
      </c>
      <c r="BZ6" s="658" t="s">
        <v>5</v>
      </c>
      <c r="CA6" s="694"/>
      <c r="CB6" s="659"/>
      <c r="CC6" s="694" t="s">
        <v>0</v>
      </c>
      <c r="CD6" s="658" t="s">
        <v>198</v>
      </c>
      <c r="CE6" s="694"/>
      <c r="CF6" s="659"/>
      <c r="CG6" s="694" t="s">
        <v>0</v>
      </c>
      <c r="CH6" s="658" t="s">
        <v>5</v>
      </c>
      <c r="CI6" s="694"/>
      <c r="CJ6" s="659"/>
      <c r="CK6" s="694" t="s">
        <v>0</v>
      </c>
      <c r="CL6" s="658" t="s">
        <v>198</v>
      </c>
      <c r="CM6" s="694"/>
      <c r="CN6" s="659"/>
      <c r="CO6" s="694" t="s">
        <v>0</v>
      </c>
      <c r="CP6" s="658" t="s">
        <v>5</v>
      </c>
      <c r="CQ6" s="694"/>
      <c r="CR6" s="659"/>
      <c r="CS6" s="694" t="s">
        <v>0</v>
      </c>
      <c r="CT6" s="658" t="s">
        <v>198</v>
      </c>
      <c r="CU6" s="694"/>
      <c r="CV6" s="659"/>
      <c r="CW6" s="694" t="s">
        <v>0</v>
      </c>
      <c r="CX6" s="658" t="s">
        <v>5</v>
      </c>
      <c r="CY6" s="694"/>
      <c r="CZ6" s="659"/>
      <c r="DA6" s="694" t="s">
        <v>0</v>
      </c>
      <c r="DB6" s="658" t="s">
        <v>198</v>
      </c>
      <c r="DC6" s="694"/>
      <c r="DD6" s="659"/>
      <c r="DE6" s="694" t="s">
        <v>0</v>
      </c>
      <c r="DF6" s="658" t="s">
        <v>5</v>
      </c>
      <c r="DG6" s="694"/>
      <c r="DH6" s="659"/>
      <c r="DI6" s="694" t="s">
        <v>0</v>
      </c>
      <c r="DJ6" s="658" t="s">
        <v>198</v>
      </c>
      <c r="DK6" s="694"/>
      <c r="DL6" s="659"/>
      <c r="DM6" s="694" t="s">
        <v>0</v>
      </c>
      <c r="DN6" s="658" t="s">
        <v>5</v>
      </c>
      <c r="DO6" s="694"/>
      <c r="DP6" s="659"/>
      <c r="DQ6" s="694" t="s">
        <v>0</v>
      </c>
      <c r="DR6" s="658" t="s">
        <v>198</v>
      </c>
      <c r="DS6" s="694"/>
      <c r="DT6" s="659"/>
      <c r="DU6" s="694" t="s">
        <v>0</v>
      </c>
      <c r="DV6" s="658" t="s">
        <v>5</v>
      </c>
      <c r="DW6" s="694"/>
      <c r="DX6" s="659"/>
      <c r="DY6" s="694" t="s">
        <v>0</v>
      </c>
      <c r="DZ6" s="658" t="s">
        <v>198</v>
      </c>
      <c r="EA6" s="694"/>
      <c r="EB6" s="659"/>
      <c r="EC6" s="694" t="s">
        <v>0</v>
      </c>
      <c r="ED6" s="658" t="s">
        <v>5</v>
      </c>
      <c r="EE6" s="694"/>
      <c r="EF6" s="659"/>
      <c r="EG6" s="694" t="s">
        <v>0</v>
      </c>
      <c r="EH6" s="658" t="s">
        <v>198</v>
      </c>
      <c r="EI6" s="694"/>
      <c r="EJ6" s="659"/>
      <c r="EK6" s="733"/>
      <c r="EL6" s="733"/>
      <c r="EM6" s="729" t="s">
        <v>0</v>
      </c>
      <c r="EN6" s="730" t="s">
        <v>5</v>
      </c>
      <c r="EO6" s="729"/>
      <c r="EP6" s="731"/>
    </row>
    <row r="7" spans="1:150" s="3" customFormat="1" ht="12.75" customHeight="1" x14ac:dyDescent="0.25">
      <c r="A7" s="665"/>
      <c r="B7" s="647"/>
      <c r="C7" s="644"/>
      <c r="D7" s="727"/>
      <c r="E7" s="695"/>
      <c r="F7" s="697" t="s">
        <v>1</v>
      </c>
      <c r="G7" s="698"/>
      <c r="H7" s="699" t="s">
        <v>39</v>
      </c>
      <c r="I7" s="695"/>
      <c r="J7" s="697" t="s">
        <v>1</v>
      </c>
      <c r="K7" s="698"/>
      <c r="L7" s="699" t="s">
        <v>39</v>
      </c>
      <c r="M7" s="695"/>
      <c r="N7" s="697" t="s">
        <v>1</v>
      </c>
      <c r="O7" s="698"/>
      <c r="P7" s="699" t="s">
        <v>39</v>
      </c>
      <c r="Q7" s="695"/>
      <c r="R7" s="697" t="s">
        <v>1</v>
      </c>
      <c r="S7" s="698"/>
      <c r="T7" s="699" t="s">
        <v>39</v>
      </c>
      <c r="U7" s="695"/>
      <c r="V7" s="697" t="s">
        <v>1</v>
      </c>
      <c r="W7" s="698"/>
      <c r="X7" s="699" t="s">
        <v>39</v>
      </c>
      <c r="Y7" s="695"/>
      <c r="Z7" s="697" t="s">
        <v>1</v>
      </c>
      <c r="AA7" s="698"/>
      <c r="AB7" s="699" t="s">
        <v>39</v>
      </c>
      <c r="AC7" s="695"/>
      <c r="AD7" s="697" t="s">
        <v>1</v>
      </c>
      <c r="AE7" s="698"/>
      <c r="AF7" s="699" t="s">
        <v>39</v>
      </c>
      <c r="AG7" s="695"/>
      <c r="AH7" s="697" t="s">
        <v>1</v>
      </c>
      <c r="AI7" s="698"/>
      <c r="AJ7" s="699" t="s">
        <v>39</v>
      </c>
      <c r="AK7" s="695"/>
      <c r="AL7" s="697" t="s">
        <v>1</v>
      </c>
      <c r="AM7" s="698"/>
      <c r="AN7" s="699" t="s">
        <v>39</v>
      </c>
      <c r="AO7" s="695"/>
      <c r="AP7" s="697" t="s">
        <v>1</v>
      </c>
      <c r="AQ7" s="698"/>
      <c r="AR7" s="699" t="s">
        <v>39</v>
      </c>
      <c r="AS7" s="695"/>
      <c r="AT7" s="697" t="s">
        <v>1</v>
      </c>
      <c r="AU7" s="698"/>
      <c r="AV7" s="699" t="s">
        <v>39</v>
      </c>
      <c r="AW7" s="695"/>
      <c r="AX7" s="697" t="s">
        <v>1</v>
      </c>
      <c r="AY7" s="698"/>
      <c r="AZ7" s="699" t="s">
        <v>39</v>
      </c>
      <c r="BA7" s="695"/>
      <c r="BB7" s="697" t="s">
        <v>1</v>
      </c>
      <c r="BC7" s="698"/>
      <c r="BD7" s="699" t="s">
        <v>39</v>
      </c>
      <c r="BE7" s="695"/>
      <c r="BF7" s="697" t="s">
        <v>1</v>
      </c>
      <c r="BG7" s="698"/>
      <c r="BH7" s="699" t="s">
        <v>39</v>
      </c>
      <c r="BI7" s="695"/>
      <c r="BJ7" s="697" t="s">
        <v>1</v>
      </c>
      <c r="BK7" s="698"/>
      <c r="BL7" s="699" t="s">
        <v>39</v>
      </c>
      <c r="BM7" s="695"/>
      <c r="BN7" s="697" t="s">
        <v>1</v>
      </c>
      <c r="BO7" s="698"/>
      <c r="BP7" s="699" t="s">
        <v>39</v>
      </c>
      <c r="BQ7" s="695"/>
      <c r="BR7" s="697" t="s">
        <v>1</v>
      </c>
      <c r="BS7" s="698"/>
      <c r="BT7" s="699" t="s">
        <v>39</v>
      </c>
      <c r="BU7" s="695"/>
      <c r="BV7" s="697" t="s">
        <v>1</v>
      </c>
      <c r="BW7" s="698"/>
      <c r="BX7" s="699" t="s">
        <v>39</v>
      </c>
      <c r="BY7" s="695"/>
      <c r="BZ7" s="697" t="s">
        <v>1</v>
      </c>
      <c r="CA7" s="698"/>
      <c r="CB7" s="699" t="s">
        <v>39</v>
      </c>
      <c r="CC7" s="695"/>
      <c r="CD7" s="697" t="s">
        <v>1</v>
      </c>
      <c r="CE7" s="698"/>
      <c r="CF7" s="699" t="s">
        <v>39</v>
      </c>
      <c r="CG7" s="695"/>
      <c r="CH7" s="697" t="s">
        <v>1</v>
      </c>
      <c r="CI7" s="698"/>
      <c r="CJ7" s="699" t="s">
        <v>39</v>
      </c>
      <c r="CK7" s="695"/>
      <c r="CL7" s="697" t="s">
        <v>1</v>
      </c>
      <c r="CM7" s="698"/>
      <c r="CN7" s="699" t="s">
        <v>39</v>
      </c>
      <c r="CO7" s="695"/>
      <c r="CP7" s="697" t="s">
        <v>1</v>
      </c>
      <c r="CQ7" s="698"/>
      <c r="CR7" s="699" t="s">
        <v>39</v>
      </c>
      <c r="CS7" s="695"/>
      <c r="CT7" s="697" t="s">
        <v>1</v>
      </c>
      <c r="CU7" s="698"/>
      <c r="CV7" s="699" t="s">
        <v>39</v>
      </c>
      <c r="CW7" s="695"/>
      <c r="CX7" s="697" t="s">
        <v>1</v>
      </c>
      <c r="CY7" s="698"/>
      <c r="CZ7" s="699" t="s">
        <v>39</v>
      </c>
      <c r="DA7" s="695"/>
      <c r="DB7" s="697" t="s">
        <v>1</v>
      </c>
      <c r="DC7" s="698"/>
      <c r="DD7" s="699" t="s">
        <v>39</v>
      </c>
      <c r="DE7" s="695"/>
      <c r="DF7" s="697" t="s">
        <v>1</v>
      </c>
      <c r="DG7" s="698"/>
      <c r="DH7" s="699" t="s">
        <v>39</v>
      </c>
      <c r="DI7" s="695"/>
      <c r="DJ7" s="697" t="s">
        <v>1</v>
      </c>
      <c r="DK7" s="698"/>
      <c r="DL7" s="699" t="s">
        <v>39</v>
      </c>
      <c r="DM7" s="695"/>
      <c r="DN7" s="697" t="s">
        <v>1</v>
      </c>
      <c r="DO7" s="698"/>
      <c r="DP7" s="699" t="s">
        <v>39</v>
      </c>
      <c r="DQ7" s="695"/>
      <c r="DR7" s="697" t="s">
        <v>1</v>
      </c>
      <c r="DS7" s="698"/>
      <c r="DT7" s="699" t="s">
        <v>39</v>
      </c>
      <c r="DU7" s="695"/>
      <c r="DV7" s="697" t="s">
        <v>1</v>
      </c>
      <c r="DW7" s="698"/>
      <c r="DX7" s="699" t="s">
        <v>39</v>
      </c>
      <c r="DY7" s="695"/>
      <c r="DZ7" s="697" t="s">
        <v>1</v>
      </c>
      <c r="EA7" s="698"/>
      <c r="EB7" s="699" t="s">
        <v>39</v>
      </c>
      <c r="EC7" s="695"/>
      <c r="ED7" s="697" t="s">
        <v>1</v>
      </c>
      <c r="EE7" s="698"/>
      <c r="EF7" s="699" t="s">
        <v>39</v>
      </c>
      <c r="EG7" s="695"/>
      <c r="EH7" s="697" t="s">
        <v>1</v>
      </c>
      <c r="EI7" s="698"/>
      <c r="EJ7" s="699" t="s">
        <v>39</v>
      </c>
      <c r="EK7" s="733"/>
      <c r="EL7" s="733"/>
      <c r="EM7" s="695"/>
      <c r="EN7" s="697" t="s">
        <v>1</v>
      </c>
      <c r="EO7" s="698"/>
      <c r="EP7" s="699" t="s">
        <v>39</v>
      </c>
    </row>
    <row r="8" spans="1:150" s="3" customFormat="1" ht="16.5" customHeight="1" x14ac:dyDescent="0.25">
      <c r="A8" s="665"/>
      <c r="B8" s="647"/>
      <c r="C8" s="644"/>
      <c r="D8" s="727"/>
      <c r="E8" s="695"/>
      <c r="F8" s="684" t="s">
        <v>0</v>
      </c>
      <c r="G8" s="686" t="s">
        <v>38</v>
      </c>
      <c r="H8" s="700"/>
      <c r="I8" s="695"/>
      <c r="J8" s="684" t="s">
        <v>0</v>
      </c>
      <c r="K8" s="686" t="s">
        <v>38</v>
      </c>
      <c r="L8" s="700"/>
      <c r="M8" s="695"/>
      <c r="N8" s="684" t="s">
        <v>0</v>
      </c>
      <c r="O8" s="686" t="s">
        <v>38</v>
      </c>
      <c r="P8" s="700"/>
      <c r="Q8" s="695"/>
      <c r="R8" s="684" t="s">
        <v>0</v>
      </c>
      <c r="S8" s="686" t="s">
        <v>38</v>
      </c>
      <c r="T8" s="700"/>
      <c r="U8" s="695"/>
      <c r="V8" s="684" t="s">
        <v>0</v>
      </c>
      <c r="W8" s="686" t="s">
        <v>38</v>
      </c>
      <c r="X8" s="700"/>
      <c r="Y8" s="695"/>
      <c r="Z8" s="684" t="s">
        <v>0</v>
      </c>
      <c r="AA8" s="686" t="s">
        <v>38</v>
      </c>
      <c r="AB8" s="700"/>
      <c r="AC8" s="695"/>
      <c r="AD8" s="684" t="s">
        <v>0</v>
      </c>
      <c r="AE8" s="686" t="s">
        <v>38</v>
      </c>
      <c r="AF8" s="700"/>
      <c r="AG8" s="695"/>
      <c r="AH8" s="684" t="s">
        <v>0</v>
      </c>
      <c r="AI8" s="686" t="s">
        <v>38</v>
      </c>
      <c r="AJ8" s="700"/>
      <c r="AK8" s="695"/>
      <c r="AL8" s="684" t="s">
        <v>0</v>
      </c>
      <c r="AM8" s="686" t="s">
        <v>38</v>
      </c>
      <c r="AN8" s="700"/>
      <c r="AO8" s="695"/>
      <c r="AP8" s="684" t="s">
        <v>0</v>
      </c>
      <c r="AQ8" s="686" t="s">
        <v>38</v>
      </c>
      <c r="AR8" s="700"/>
      <c r="AS8" s="695"/>
      <c r="AT8" s="684" t="s">
        <v>0</v>
      </c>
      <c r="AU8" s="686" t="s">
        <v>38</v>
      </c>
      <c r="AV8" s="700"/>
      <c r="AW8" s="695"/>
      <c r="AX8" s="684" t="s">
        <v>0</v>
      </c>
      <c r="AY8" s="686" t="s">
        <v>38</v>
      </c>
      <c r="AZ8" s="700"/>
      <c r="BA8" s="695"/>
      <c r="BB8" s="684" t="s">
        <v>0</v>
      </c>
      <c r="BC8" s="686" t="s">
        <v>38</v>
      </c>
      <c r="BD8" s="700"/>
      <c r="BE8" s="695"/>
      <c r="BF8" s="684" t="s">
        <v>0</v>
      </c>
      <c r="BG8" s="686" t="s">
        <v>38</v>
      </c>
      <c r="BH8" s="700"/>
      <c r="BI8" s="695"/>
      <c r="BJ8" s="684" t="s">
        <v>0</v>
      </c>
      <c r="BK8" s="686" t="s">
        <v>38</v>
      </c>
      <c r="BL8" s="700"/>
      <c r="BM8" s="695"/>
      <c r="BN8" s="684" t="s">
        <v>0</v>
      </c>
      <c r="BO8" s="686" t="s">
        <v>38</v>
      </c>
      <c r="BP8" s="700"/>
      <c r="BQ8" s="695"/>
      <c r="BR8" s="684" t="s">
        <v>0</v>
      </c>
      <c r="BS8" s="686" t="s">
        <v>38</v>
      </c>
      <c r="BT8" s="700"/>
      <c r="BU8" s="695"/>
      <c r="BV8" s="684" t="s">
        <v>0</v>
      </c>
      <c r="BW8" s="686" t="s">
        <v>38</v>
      </c>
      <c r="BX8" s="700"/>
      <c r="BY8" s="695"/>
      <c r="BZ8" s="684" t="s">
        <v>0</v>
      </c>
      <c r="CA8" s="686" t="s">
        <v>38</v>
      </c>
      <c r="CB8" s="700"/>
      <c r="CC8" s="695"/>
      <c r="CD8" s="684" t="s">
        <v>0</v>
      </c>
      <c r="CE8" s="686" t="s">
        <v>38</v>
      </c>
      <c r="CF8" s="700"/>
      <c r="CG8" s="695"/>
      <c r="CH8" s="684" t="s">
        <v>0</v>
      </c>
      <c r="CI8" s="686" t="s">
        <v>38</v>
      </c>
      <c r="CJ8" s="700"/>
      <c r="CK8" s="695"/>
      <c r="CL8" s="684" t="s">
        <v>0</v>
      </c>
      <c r="CM8" s="686" t="s">
        <v>38</v>
      </c>
      <c r="CN8" s="700"/>
      <c r="CO8" s="695"/>
      <c r="CP8" s="684" t="s">
        <v>0</v>
      </c>
      <c r="CQ8" s="686" t="s">
        <v>38</v>
      </c>
      <c r="CR8" s="700"/>
      <c r="CS8" s="695"/>
      <c r="CT8" s="684" t="s">
        <v>0</v>
      </c>
      <c r="CU8" s="686" t="s">
        <v>38</v>
      </c>
      <c r="CV8" s="700"/>
      <c r="CW8" s="695"/>
      <c r="CX8" s="684" t="s">
        <v>0</v>
      </c>
      <c r="CY8" s="686" t="s">
        <v>38</v>
      </c>
      <c r="CZ8" s="700"/>
      <c r="DA8" s="695"/>
      <c r="DB8" s="684" t="s">
        <v>0</v>
      </c>
      <c r="DC8" s="686" t="s">
        <v>38</v>
      </c>
      <c r="DD8" s="700"/>
      <c r="DE8" s="695"/>
      <c r="DF8" s="684" t="s">
        <v>0</v>
      </c>
      <c r="DG8" s="686" t="s">
        <v>38</v>
      </c>
      <c r="DH8" s="700"/>
      <c r="DI8" s="695"/>
      <c r="DJ8" s="684" t="s">
        <v>0</v>
      </c>
      <c r="DK8" s="686" t="s">
        <v>38</v>
      </c>
      <c r="DL8" s="700"/>
      <c r="DM8" s="695"/>
      <c r="DN8" s="684" t="s">
        <v>0</v>
      </c>
      <c r="DO8" s="686" t="s">
        <v>38</v>
      </c>
      <c r="DP8" s="700"/>
      <c r="DQ8" s="695"/>
      <c r="DR8" s="684" t="s">
        <v>0</v>
      </c>
      <c r="DS8" s="686" t="s">
        <v>38</v>
      </c>
      <c r="DT8" s="700"/>
      <c r="DU8" s="695"/>
      <c r="DV8" s="684" t="s">
        <v>0</v>
      </c>
      <c r="DW8" s="686" t="s">
        <v>38</v>
      </c>
      <c r="DX8" s="700"/>
      <c r="DY8" s="695"/>
      <c r="DZ8" s="684" t="s">
        <v>0</v>
      </c>
      <c r="EA8" s="686" t="s">
        <v>38</v>
      </c>
      <c r="EB8" s="700"/>
      <c r="EC8" s="695"/>
      <c r="ED8" s="684" t="s">
        <v>0</v>
      </c>
      <c r="EE8" s="686" t="s">
        <v>38</v>
      </c>
      <c r="EF8" s="700"/>
      <c r="EG8" s="695"/>
      <c r="EH8" s="684" t="s">
        <v>0</v>
      </c>
      <c r="EI8" s="686" t="s">
        <v>38</v>
      </c>
      <c r="EJ8" s="700"/>
      <c r="EK8" s="733"/>
      <c r="EL8" s="733"/>
      <c r="EM8" s="695"/>
      <c r="EN8" s="684" t="s">
        <v>0</v>
      </c>
      <c r="EO8" s="686" t="s">
        <v>38</v>
      </c>
      <c r="EP8" s="700"/>
    </row>
    <row r="9" spans="1:150" ht="39" customHeight="1" thickBot="1" x14ac:dyDescent="0.3">
      <c r="A9" s="666"/>
      <c r="B9" s="648"/>
      <c r="C9" s="645"/>
      <c r="D9" s="728"/>
      <c r="E9" s="696"/>
      <c r="F9" s="685"/>
      <c r="G9" s="687"/>
      <c r="H9" s="701"/>
      <c r="I9" s="696"/>
      <c r="J9" s="685"/>
      <c r="K9" s="687"/>
      <c r="L9" s="701"/>
      <c r="M9" s="696"/>
      <c r="N9" s="685"/>
      <c r="O9" s="687"/>
      <c r="P9" s="701"/>
      <c r="Q9" s="696"/>
      <c r="R9" s="685"/>
      <c r="S9" s="687"/>
      <c r="T9" s="701"/>
      <c r="U9" s="696"/>
      <c r="V9" s="685"/>
      <c r="W9" s="687"/>
      <c r="X9" s="701"/>
      <c r="Y9" s="696"/>
      <c r="Z9" s="685"/>
      <c r="AA9" s="687"/>
      <c r="AB9" s="701"/>
      <c r="AC9" s="696"/>
      <c r="AD9" s="685"/>
      <c r="AE9" s="687"/>
      <c r="AF9" s="701"/>
      <c r="AG9" s="696"/>
      <c r="AH9" s="685"/>
      <c r="AI9" s="687"/>
      <c r="AJ9" s="701"/>
      <c r="AK9" s="696"/>
      <c r="AL9" s="685"/>
      <c r="AM9" s="687"/>
      <c r="AN9" s="701"/>
      <c r="AO9" s="696"/>
      <c r="AP9" s="685"/>
      <c r="AQ9" s="687"/>
      <c r="AR9" s="701"/>
      <c r="AS9" s="696"/>
      <c r="AT9" s="685"/>
      <c r="AU9" s="687"/>
      <c r="AV9" s="701"/>
      <c r="AW9" s="696"/>
      <c r="AX9" s="685"/>
      <c r="AY9" s="687"/>
      <c r="AZ9" s="701"/>
      <c r="BA9" s="696"/>
      <c r="BB9" s="685"/>
      <c r="BC9" s="687"/>
      <c r="BD9" s="701"/>
      <c r="BE9" s="696"/>
      <c r="BF9" s="685"/>
      <c r="BG9" s="687"/>
      <c r="BH9" s="701"/>
      <c r="BI9" s="696"/>
      <c r="BJ9" s="685"/>
      <c r="BK9" s="687"/>
      <c r="BL9" s="701"/>
      <c r="BM9" s="696"/>
      <c r="BN9" s="685"/>
      <c r="BO9" s="687"/>
      <c r="BP9" s="701"/>
      <c r="BQ9" s="696"/>
      <c r="BR9" s="685"/>
      <c r="BS9" s="687"/>
      <c r="BT9" s="701"/>
      <c r="BU9" s="696"/>
      <c r="BV9" s="685"/>
      <c r="BW9" s="687"/>
      <c r="BX9" s="701"/>
      <c r="BY9" s="696"/>
      <c r="BZ9" s="685"/>
      <c r="CA9" s="687"/>
      <c r="CB9" s="701"/>
      <c r="CC9" s="696"/>
      <c r="CD9" s="685"/>
      <c r="CE9" s="687"/>
      <c r="CF9" s="701"/>
      <c r="CG9" s="696"/>
      <c r="CH9" s="685"/>
      <c r="CI9" s="687"/>
      <c r="CJ9" s="701"/>
      <c r="CK9" s="696"/>
      <c r="CL9" s="685"/>
      <c r="CM9" s="687"/>
      <c r="CN9" s="701"/>
      <c r="CO9" s="696"/>
      <c r="CP9" s="685"/>
      <c r="CQ9" s="687"/>
      <c r="CR9" s="701"/>
      <c r="CS9" s="696"/>
      <c r="CT9" s="685"/>
      <c r="CU9" s="687"/>
      <c r="CV9" s="701"/>
      <c r="CW9" s="696"/>
      <c r="CX9" s="685"/>
      <c r="CY9" s="687"/>
      <c r="CZ9" s="701"/>
      <c r="DA9" s="696"/>
      <c r="DB9" s="685"/>
      <c r="DC9" s="687"/>
      <c r="DD9" s="701"/>
      <c r="DE9" s="696"/>
      <c r="DF9" s="685"/>
      <c r="DG9" s="687"/>
      <c r="DH9" s="701"/>
      <c r="DI9" s="696"/>
      <c r="DJ9" s="685"/>
      <c r="DK9" s="687"/>
      <c r="DL9" s="701"/>
      <c r="DM9" s="696"/>
      <c r="DN9" s="685"/>
      <c r="DO9" s="687"/>
      <c r="DP9" s="701"/>
      <c r="DQ9" s="696"/>
      <c r="DR9" s="685"/>
      <c r="DS9" s="687"/>
      <c r="DT9" s="701"/>
      <c r="DU9" s="696"/>
      <c r="DV9" s="685"/>
      <c r="DW9" s="687"/>
      <c r="DX9" s="701"/>
      <c r="DY9" s="696"/>
      <c r="DZ9" s="685"/>
      <c r="EA9" s="687"/>
      <c r="EB9" s="701"/>
      <c r="EC9" s="696"/>
      <c r="ED9" s="685"/>
      <c r="EE9" s="687"/>
      <c r="EF9" s="701"/>
      <c r="EG9" s="696"/>
      <c r="EH9" s="685"/>
      <c r="EI9" s="687"/>
      <c r="EJ9" s="701"/>
      <c r="EK9" s="734"/>
      <c r="EL9" s="734"/>
      <c r="EM9" s="696"/>
      <c r="EN9" s="685"/>
      <c r="EO9" s="687"/>
      <c r="EP9" s="701"/>
    </row>
    <row r="10" spans="1:150" ht="12.75" customHeight="1" x14ac:dyDescent="0.25">
      <c r="A10" s="27">
        <v>1</v>
      </c>
      <c r="B10" s="146">
        <v>2</v>
      </c>
      <c r="C10" s="28">
        <v>3</v>
      </c>
      <c r="D10" s="90">
        <v>4</v>
      </c>
      <c r="E10" s="72">
        <v>5</v>
      </c>
      <c r="F10" s="29">
        <v>6</v>
      </c>
      <c r="G10" s="30">
        <v>7</v>
      </c>
      <c r="H10" s="31">
        <v>8</v>
      </c>
      <c r="I10" s="72">
        <v>9</v>
      </c>
      <c r="J10" s="29">
        <v>10</v>
      </c>
      <c r="K10" s="30">
        <v>11</v>
      </c>
      <c r="L10" s="31">
        <v>12</v>
      </c>
      <c r="M10" s="72">
        <v>13</v>
      </c>
      <c r="N10" s="29">
        <v>14</v>
      </c>
      <c r="O10" s="30">
        <v>15</v>
      </c>
      <c r="P10" s="31">
        <v>16</v>
      </c>
      <c r="Q10" s="72">
        <v>17</v>
      </c>
      <c r="R10" s="29">
        <v>18</v>
      </c>
      <c r="S10" s="30">
        <v>19</v>
      </c>
      <c r="T10" s="31">
        <v>20</v>
      </c>
      <c r="U10" s="72">
        <v>5</v>
      </c>
      <c r="V10" s="29">
        <v>6</v>
      </c>
      <c r="W10" s="30">
        <v>7</v>
      </c>
      <c r="X10" s="31">
        <v>8</v>
      </c>
      <c r="Y10" s="72">
        <v>9</v>
      </c>
      <c r="Z10" s="29">
        <v>10</v>
      </c>
      <c r="AA10" s="30">
        <v>11</v>
      </c>
      <c r="AB10" s="31">
        <v>12</v>
      </c>
      <c r="AC10" s="72">
        <v>13</v>
      </c>
      <c r="AD10" s="29">
        <v>14</v>
      </c>
      <c r="AE10" s="30">
        <v>15</v>
      </c>
      <c r="AF10" s="31">
        <v>16</v>
      </c>
      <c r="AG10" s="72">
        <v>17</v>
      </c>
      <c r="AH10" s="29">
        <v>18</v>
      </c>
      <c r="AI10" s="30">
        <v>19</v>
      </c>
      <c r="AJ10" s="31">
        <v>20</v>
      </c>
      <c r="AK10" s="72">
        <v>21</v>
      </c>
      <c r="AL10" s="29">
        <v>22</v>
      </c>
      <c r="AM10" s="30">
        <v>23</v>
      </c>
      <c r="AN10" s="31">
        <v>24</v>
      </c>
      <c r="AO10" s="72">
        <v>25</v>
      </c>
      <c r="AP10" s="29">
        <v>26</v>
      </c>
      <c r="AQ10" s="30">
        <v>27</v>
      </c>
      <c r="AR10" s="31">
        <v>28</v>
      </c>
      <c r="AS10" s="72">
        <v>13</v>
      </c>
      <c r="AT10" s="29">
        <v>14</v>
      </c>
      <c r="AU10" s="30">
        <v>15</v>
      </c>
      <c r="AV10" s="31">
        <v>16</v>
      </c>
      <c r="AW10" s="72">
        <v>17</v>
      </c>
      <c r="AX10" s="29">
        <v>18</v>
      </c>
      <c r="AY10" s="30">
        <v>19</v>
      </c>
      <c r="AZ10" s="31">
        <v>20</v>
      </c>
      <c r="BA10" s="72">
        <v>5</v>
      </c>
      <c r="BB10" s="29">
        <v>6</v>
      </c>
      <c r="BC10" s="30">
        <v>7</v>
      </c>
      <c r="BD10" s="31">
        <v>8</v>
      </c>
      <c r="BE10" s="72">
        <v>9</v>
      </c>
      <c r="BF10" s="29">
        <v>10</v>
      </c>
      <c r="BG10" s="30">
        <v>11</v>
      </c>
      <c r="BH10" s="31">
        <v>12</v>
      </c>
      <c r="BI10" s="72">
        <v>13</v>
      </c>
      <c r="BJ10" s="29">
        <v>14</v>
      </c>
      <c r="BK10" s="30">
        <v>15</v>
      </c>
      <c r="BL10" s="31">
        <v>16</v>
      </c>
      <c r="BM10" s="72">
        <v>17</v>
      </c>
      <c r="BN10" s="29">
        <v>18</v>
      </c>
      <c r="BO10" s="30">
        <v>19</v>
      </c>
      <c r="BP10" s="31">
        <v>20</v>
      </c>
      <c r="BQ10" s="72">
        <v>5</v>
      </c>
      <c r="BR10" s="29">
        <v>6</v>
      </c>
      <c r="BS10" s="30">
        <v>7</v>
      </c>
      <c r="BT10" s="31">
        <v>8</v>
      </c>
      <c r="BU10" s="72">
        <v>9</v>
      </c>
      <c r="BV10" s="29">
        <v>10</v>
      </c>
      <c r="BW10" s="30">
        <v>11</v>
      </c>
      <c r="BX10" s="31">
        <v>12</v>
      </c>
      <c r="BY10" s="72">
        <v>13</v>
      </c>
      <c r="BZ10" s="29">
        <v>14</v>
      </c>
      <c r="CA10" s="30">
        <v>15</v>
      </c>
      <c r="CB10" s="31">
        <v>16</v>
      </c>
      <c r="CC10" s="72">
        <v>17</v>
      </c>
      <c r="CD10" s="29">
        <v>18</v>
      </c>
      <c r="CE10" s="30">
        <v>19</v>
      </c>
      <c r="CF10" s="31">
        <v>20</v>
      </c>
      <c r="CG10" s="72">
        <v>5</v>
      </c>
      <c r="CH10" s="29">
        <v>6</v>
      </c>
      <c r="CI10" s="30">
        <v>7</v>
      </c>
      <c r="CJ10" s="31">
        <v>8</v>
      </c>
      <c r="CK10" s="72">
        <v>9</v>
      </c>
      <c r="CL10" s="29">
        <v>10</v>
      </c>
      <c r="CM10" s="30">
        <v>11</v>
      </c>
      <c r="CN10" s="31">
        <v>12</v>
      </c>
      <c r="CO10" s="72">
        <v>13</v>
      </c>
      <c r="CP10" s="29">
        <v>14</v>
      </c>
      <c r="CQ10" s="30">
        <v>15</v>
      </c>
      <c r="CR10" s="31">
        <v>16</v>
      </c>
      <c r="CS10" s="72">
        <v>17</v>
      </c>
      <c r="CT10" s="29">
        <v>18</v>
      </c>
      <c r="CU10" s="30">
        <v>19</v>
      </c>
      <c r="CV10" s="31">
        <v>20</v>
      </c>
      <c r="CW10" s="72">
        <v>5</v>
      </c>
      <c r="CX10" s="29">
        <v>6</v>
      </c>
      <c r="CY10" s="30">
        <v>7</v>
      </c>
      <c r="CZ10" s="31">
        <v>8</v>
      </c>
      <c r="DA10" s="72">
        <v>9</v>
      </c>
      <c r="DB10" s="29">
        <v>10</v>
      </c>
      <c r="DC10" s="30">
        <v>11</v>
      </c>
      <c r="DD10" s="31">
        <v>12</v>
      </c>
      <c r="DE10" s="72">
        <v>13</v>
      </c>
      <c r="DF10" s="29">
        <v>14</v>
      </c>
      <c r="DG10" s="30">
        <v>15</v>
      </c>
      <c r="DH10" s="31">
        <v>16</v>
      </c>
      <c r="DI10" s="72">
        <v>17</v>
      </c>
      <c r="DJ10" s="29">
        <v>18</v>
      </c>
      <c r="DK10" s="30">
        <v>19</v>
      </c>
      <c r="DL10" s="31">
        <v>20</v>
      </c>
      <c r="DM10" s="72">
        <v>5</v>
      </c>
      <c r="DN10" s="29">
        <v>6</v>
      </c>
      <c r="DO10" s="30">
        <v>7</v>
      </c>
      <c r="DP10" s="31">
        <v>8</v>
      </c>
      <c r="DQ10" s="72">
        <v>9</v>
      </c>
      <c r="DR10" s="29">
        <v>10</v>
      </c>
      <c r="DS10" s="30">
        <v>11</v>
      </c>
      <c r="DT10" s="31">
        <v>12</v>
      </c>
      <c r="DU10" s="72">
        <v>13</v>
      </c>
      <c r="DV10" s="29">
        <v>14</v>
      </c>
      <c r="DW10" s="30">
        <v>15</v>
      </c>
      <c r="DX10" s="31">
        <v>16</v>
      </c>
      <c r="DY10" s="72">
        <v>17</v>
      </c>
      <c r="DZ10" s="29">
        <v>18</v>
      </c>
      <c r="EA10" s="30">
        <v>19</v>
      </c>
      <c r="EB10" s="31">
        <v>20</v>
      </c>
      <c r="EC10" s="72">
        <v>9</v>
      </c>
      <c r="ED10" s="29">
        <v>10</v>
      </c>
      <c r="EE10" s="30">
        <v>11</v>
      </c>
      <c r="EF10" s="31">
        <v>12</v>
      </c>
      <c r="EG10" s="72">
        <v>25</v>
      </c>
      <c r="EH10" s="29">
        <v>26</v>
      </c>
      <c r="EI10" s="30">
        <v>27</v>
      </c>
      <c r="EJ10" s="31">
        <v>28</v>
      </c>
      <c r="EK10" s="90">
        <v>13</v>
      </c>
      <c r="EL10" s="90">
        <v>14</v>
      </c>
      <c r="EM10" s="72">
        <v>15</v>
      </c>
      <c r="EN10" s="29">
        <v>16</v>
      </c>
      <c r="EO10" s="30">
        <v>17</v>
      </c>
      <c r="EP10" s="31">
        <v>18</v>
      </c>
    </row>
    <row r="11" spans="1:150" ht="29.4" customHeight="1" x14ac:dyDescent="0.3">
      <c r="A11" s="32"/>
      <c r="B11" s="33" t="s">
        <v>20</v>
      </c>
      <c r="C11" s="104" t="s">
        <v>125</v>
      </c>
      <c r="D11" s="91"/>
      <c r="E11" s="148">
        <f>SUM(H11,F11)</f>
        <v>74.38</v>
      </c>
      <c r="F11" s="149">
        <f>SUM(F13)</f>
        <v>74.38</v>
      </c>
      <c r="G11" s="150">
        <f>SUM(G13)</f>
        <v>65.2</v>
      </c>
      <c r="H11" s="151">
        <f>H13</f>
        <v>0</v>
      </c>
      <c r="I11" s="148">
        <f>SUM(L11,J11)</f>
        <v>0</v>
      </c>
      <c r="J11" s="149"/>
      <c r="K11" s="150">
        <f>SUM(K13)</f>
        <v>0</v>
      </c>
      <c r="L11" s="151">
        <f>L13</f>
        <v>0</v>
      </c>
      <c r="M11" s="148">
        <f>SUM(P11,N11)</f>
        <v>0</v>
      </c>
      <c r="N11" s="149">
        <f>SUM(N13)</f>
        <v>0</v>
      </c>
      <c r="O11" s="150">
        <f>SUM(O13)</f>
        <v>0</v>
      </c>
      <c r="P11" s="151">
        <f>P13</f>
        <v>0</v>
      </c>
      <c r="Q11" s="148">
        <f>SUM(T11,R11)</f>
        <v>0</v>
      </c>
      <c r="R11" s="149"/>
      <c r="S11" s="150">
        <f>SUM(S13)</f>
        <v>0</v>
      </c>
      <c r="T11" s="151">
        <f>T13</f>
        <v>0</v>
      </c>
      <c r="U11" s="148">
        <f>SUM(X11,V11)</f>
        <v>74.38</v>
      </c>
      <c r="V11" s="149">
        <f>SUM(V13)</f>
        <v>74.38</v>
      </c>
      <c r="W11" s="150">
        <f>SUM(W13)</f>
        <v>65.2</v>
      </c>
      <c r="X11" s="151">
        <f>X13</f>
        <v>0</v>
      </c>
      <c r="Y11" s="148">
        <f>SUM(AB11,Z11)</f>
        <v>0</v>
      </c>
      <c r="Z11" s="149"/>
      <c r="AA11" s="150">
        <f>SUM(AA13)</f>
        <v>0</v>
      </c>
      <c r="AB11" s="151">
        <f>AB13</f>
        <v>0</v>
      </c>
      <c r="AC11" s="148">
        <f>SUM(AF11,AD11)</f>
        <v>0</v>
      </c>
      <c r="AD11" s="149">
        <f>SUM(AD13)</f>
        <v>0</v>
      </c>
      <c r="AE11" s="150">
        <f>SUM(AE13)</f>
        <v>0</v>
      </c>
      <c r="AF11" s="151">
        <f>AF13</f>
        <v>0</v>
      </c>
      <c r="AG11" s="148">
        <f>SUM(AJ11,AH11)</f>
        <v>0</v>
      </c>
      <c r="AH11" s="149"/>
      <c r="AI11" s="150">
        <f>SUM(AI13)</f>
        <v>0</v>
      </c>
      <c r="AJ11" s="151">
        <f>AJ13</f>
        <v>0</v>
      </c>
      <c r="AK11" s="148">
        <f>SUM(AN11,AL11)</f>
        <v>74.38</v>
      </c>
      <c r="AL11" s="149">
        <f>SUM(AL13)</f>
        <v>74.38</v>
      </c>
      <c r="AM11" s="150">
        <f>SUM(AM13)</f>
        <v>65.2</v>
      </c>
      <c r="AN11" s="151">
        <f>AN13</f>
        <v>0</v>
      </c>
      <c r="AO11" s="148">
        <f>SUM(AR11,AP11)</f>
        <v>0</v>
      </c>
      <c r="AP11" s="149"/>
      <c r="AQ11" s="150">
        <f>SUM(AQ13)</f>
        <v>0</v>
      </c>
      <c r="AR11" s="151">
        <f>AR13</f>
        <v>0</v>
      </c>
      <c r="AS11" s="148">
        <f>SUM(AV11,AT11)</f>
        <v>0</v>
      </c>
      <c r="AT11" s="149">
        <f>SUM(AT13)</f>
        <v>0</v>
      </c>
      <c r="AU11" s="150">
        <f>SUM(AU13)</f>
        <v>-0.28000000000000003</v>
      </c>
      <c r="AV11" s="151">
        <f>AV13</f>
        <v>0</v>
      </c>
      <c r="AW11" s="148">
        <f>SUM(AZ11,AX11)</f>
        <v>0</v>
      </c>
      <c r="AX11" s="149"/>
      <c r="AY11" s="150">
        <f>SUM(AY13)</f>
        <v>0</v>
      </c>
      <c r="AZ11" s="151">
        <f>AZ13</f>
        <v>0</v>
      </c>
      <c r="BA11" s="148">
        <f>SUM(BD11,BB11)</f>
        <v>74.38</v>
      </c>
      <c r="BB11" s="149">
        <f>SUM(BB13)</f>
        <v>74.38</v>
      </c>
      <c r="BC11" s="150">
        <f>SUM(BC13)</f>
        <v>64.92</v>
      </c>
      <c r="BD11" s="151">
        <f>BD13</f>
        <v>0</v>
      </c>
      <c r="BE11" s="148">
        <f>SUM(BH11,BF11)</f>
        <v>0</v>
      </c>
      <c r="BF11" s="149"/>
      <c r="BG11" s="150">
        <f>SUM(BG13)</f>
        <v>0</v>
      </c>
      <c r="BH11" s="151">
        <f>BH13</f>
        <v>0</v>
      </c>
      <c r="BI11" s="148">
        <f>SUM(BL11,BJ11)</f>
        <v>0</v>
      </c>
      <c r="BJ11" s="149">
        <f>SUM(BJ13)</f>
        <v>0</v>
      </c>
      <c r="BK11" s="150">
        <f>SUM(BK13)</f>
        <v>0</v>
      </c>
      <c r="BL11" s="151">
        <f>BL13</f>
        <v>0</v>
      </c>
      <c r="BM11" s="148">
        <f>SUM(BP11,BN11)</f>
        <v>0</v>
      </c>
      <c r="BN11" s="149"/>
      <c r="BO11" s="150">
        <f>SUM(BO13)</f>
        <v>0</v>
      </c>
      <c r="BP11" s="151">
        <f>BP13</f>
        <v>0</v>
      </c>
      <c r="BQ11" s="148">
        <f>SUM(BT11,BR11)</f>
        <v>74.38</v>
      </c>
      <c r="BR11" s="149">
        <f>SUM(BR13)</f>
        <v>74.38</v>
      </c>
      <c r="BS11" s="150">
        <f>SUM(BS13)</f>
        <v>64.92</v>
      </c>
      <c r="BT11" s="151">
        <f>BT13</f>
        <v>0</v>
      </c>
      <c r="BU11" s="148">
        <f>SUM(BX11,BV11)</f>
        <v>0</v>
      </c>
      <c r="BV11" s="149"/>
      <c r="BW11" s="150">
        <f>SUM(BW13)</f>
        <v>0</v>
      </c>
      <c r="BX11" s="151">
        <f>BX13</f>
        <v>0</v>
      </c>
      <c r="BY11" s="148">
        <f>SUM(CB11,BZ11)</f>
        <v>0</v>
      </c>
      <c r="BZ11" s="149">
        <f>SUM(BZ13)</f>
        <v>0</v>
      </c>
      <c r="CA11" s="150">
        <f>SUM(CA13)</f>
        <v>0</v>
      </c>
      <c r="CB11" s="151">
        <f>CB13</f>
        <v>0</v>
      </c>
      <c r="CC11" s="148">
        <f>SUM(CF11,CD11)</f>
        <v>0</v>
      </c>
      <c r="CD11" s="149"/>
      <c r="CE11" s="150">
        <f>SUM(CE13)</f>
        <v>0</v>
      </c>
      <c r="CF11" s="151">
        <f>CF13</f>
        <v>0</v>
      </c>
      <c r="CG11" s="148">
        <f>SUM(CJ11,CH11)</f>
        <v>74.38</v>
      </c>
      <c r="CH11" s="149">
        <f>SUM(CH13)</f>
        <v>74.38</v>
      </c>
      <c r="CI11" s="150">
        <f>SUM(CI13)</f>
        <v>64.92</v>
      </c>
      <c r="CJ11" s="151">
        <f>CJ13</f>
        <v>0</v>
      </c>
      <c r="CK11" s="148">
        <f>SUM(CN11,CL11)</f>
        <v>0</v>
      </c>
      <c r="CL11" s="149"/>
      <c r="CM11" s="150">
        <f>SUM(CM13)</f>
        <v>0</v>
      </c>
      <c r="CN11" s="151">
        <f>CN13</f>
        <v>0</v>
      </c>
      <c r="CO11" s="148">
        <f>SUM(CR11,CP11)</f>
        <v>0</v>
      </c>
      <c r="CP11" s="149">
        <f>SUM(CP13)</f>
        <v>0</v>
      </c>
      <c r="CQ11" s="150">
        <f>SUM(CQ13)</f>
        <v>0</v>
      </c>
      <c r="CR11" s="151">
        <f>CR13</f>
        <v>0</v>
      </c>
      <c r="CS11" s="148">
        <f>SUM(CV11,CT11)</f>
        <v>0</v>
      </c>
      <c r="CT11" s="149"/>
      <c r="CU11" s="150">
        <f>SUM(CU13)</f>
        <v>0</v>
      </c>
      <c r="CV11" s="151">
        <f>CV13</f>
        <v>0</v>
      </c>
      <c r="CW11" s="148">
        <f>SUM(CZ11,CX11)</f>
        <v>74.38</v>
      </c>
      <c r="CX11" s="149">
        <f>SUM(CX13)</f>
        <v>74.38</v>
      </c>
      <c r="CY11" s="150">
        <f>SUM(CY13)</f>
        <v>64.92</v>
      </c>
      <c r="CZ11" s="151">
        <f>CZ13</f>
        <v>0</v>
      </c>
      <c r="DA11" s="148">
        <f>SUM(DD11,DB11)</f>
        <v>0</v>
      </c>
      <c r="DB11" s="149"/>
      <c r="DC11" s="150">
        <f>SUM(DC13)</f>
        <v>0</v>
      </c>
      <c r="DD11" s="151">
        <f>DD13</f>
        <v>0</v>
      </c>
      <c r="DE11" s="148">
        <f>SUM(DH11,DF11)</f>
        <v>0</v>
      </c>
      <c r="DF11" s="149">
        <f>SUM(DF13)</f>
        <v>-0.4</v>
      </c>
      <c r="DG11" s="150">
        <f>SUM(DG13)</f>
        <v>-8</v>
      </c>
      <c r="DH11" s="151">
        <f>DH13</f>
        <v>0.4</v>
      </c>
      <c r="DI11" s="148">
        <f>SUM(DL11,DJ11)</f>
        <v>0</v>
      </c>
      <c r="DJ11" s="149"/>
      <c r="DK11" s="150">
        <f>SUM(DK13)</f>
        <v>0</v>
      </c>
      <c r="DL11" s="151">
        <f>DL13</f>
        <v>0</v>
      </c>
      <c r="DM11" s="148">
        <f>SUM(DP11,DN11)</f>
        <v>74.38</v>
      </c>
      <c r="DN11" s="149">
        <f>SUM(DN13)</f>
        <v>73.97999999999999</v>
      </c>
      <c r="DO11" s="150">
        <f>SUM(DO13)</f>
        <v>56.92</v>
      </c>
      <c r="DP11" s="151">
        <f>DP13</f>
        <v>0.4</v>
      </c>
      <c r="DQ11" s="148">
        <f>SUM(DT11,DR11)</f>
        <v>0</v>
      </c>
      <c r="DR11" s="149"/>
      <c r="DS11" s="150">
        <f>SUM(DS13)</f>
        <v>0</v>
      </c>
      <c r="DT11" s="151">
        <f>DT13</f>
        <v>0</v>
      </c>
      <c r="DU11" s="148">
        <f>SUM(DX11,DV11)</f>
        <v>0</v>
      </c>
      <c r="DV11" s="149">
        <f>SUM(DV13)</f>
        <v>0</v>
      </c>
      <c r="DW11" s="150">
        <f>SUM(DW13)</f>
        <v>0</v>
      </c>
      <c r="DX11" s="151">
        <f>DX13</f>
        <v>0</v>
      </c>
      <c r="DY11" s="148">
        <f>SUM(EB11,DZ11)</f>
        <v>0</v>
      </c>
      <c r="DZ11" s="149"/>
      <c r="EA11" s="150">
        <f>SUM(EA13)</f>
        <v>0</v>
      </c>
      <c r="EB11" s="151">
        <f>EB13</f>
        <v>0</v>
      </c>
      <c r="EC11" s="148">
        <f>SUM(EF11,ED11)</f>
        <v>74.38</v>
      </c>
      <c r="ED11" s="149">
        <f>SUM(ED13)</f>
        <v>73.97999999999999</v>
      </c>
      <c r="EE11" s="150">
        <f>SUM(EE13)</f>
        <v>56.92</v>
      </c>
      <c r="EF11" s="151">
        <f>EF13</f>
        <v>0.4</v>
      </c>
      <c r="EG11" s="148">
        <f>SUM(EJ11,EH11)</f>
        <v>0</v>
      </c>
      <c r="EH11" s="149"/>
      <c r="EI11" s="150">
        <f>SUM(EI13)</f>
        <v>0</v>
      </c>
      <c r="EJ11" s="151">
        <f>EJ13</f>
        <v>0</v>
      </c>
      <c r="EK11" s="152">
        <f>EM11-E11</f>
        <v>-2.0499999999999972</v>
      </c>
      <c r="EL11" s="152">
        <f>EM11-EC11</f>
        <v>-2.0499999999999972</v>
      </c>
      <c r="EM11" s="148">
        <f>SUM(EP11,EN11)</f>
        <v>72.33</v>
      </c>
      <c r="EN11" s="149">
        <f>SUM(EN13)</f>
        <v>71.33</v>
      </c>
      <c r="EO11" s="150">
        <f>SUM(EO13)</f>
        <v>63.36</v>
      </c>
      <c r="EP11" s="151">
        <f>EP13</f>
        <v>1</v>
      </c>
      <c r="EQ11" s="148">
        <f>SUM(ET11,ER11)</f>
        <v>0</v>
      </c>
      <c r="ER11" s="149"/>
      <c r="ES11" s="150">
        <f>SUM(ES13)</f>
        <v>0</v>
      </c>
      <c r="ET11" s="151">
        <f>ET13</f>
        <v>0</v>
      </c>
    </row>
    <row r="12" spans="1:150" ht="18" customHeight="1" x14ac:dyDescent="0.3">
      <c r="A12" s="35"/>
      <c r="B12" s="6" t="s">
        <v>2</v>
      </c>
      <c r="C12" s="34"/>
      <c r="D12" s="139"/>
      <c r="E12" s="105"/>
      <c r="F12" s="106"/>
      <c r="G12" s="107"/>
      <c r="H12" s="108"/>
      <c r="I12" s="105"/>
      <c r="J12" s="106"/>
      <c r="K12" s="107"/>
      <c r="L12" s="108"/>
      <c r="M12" s="105"/>
      <c r="N12" s="106"/>
      <c r="O12" s="107"/>
      <c r="P12" s="108"/>
      <c r="Q12" s="105"/>
      <c r="R12" s="106"/>
      <c r="S12" s="107"/>
      <c r="T12" s="108"/>
      <c r="U12" s="105"/>
      <c r="V12" s="106"/>
      <c r="W12" s="107"/>
      <c r="X12" s="108"/>
      <c r="Y12" s="105"/>
      <c r="Z12" s="106"/>
      <c r="AA12" s="107"/>
      <c r="AB12" s="108"/>
      <c r="AC12" s="105"/>
      <c r="AD12" s="106"/>
      <c r="AE12" s="107"/>
      <c r="AF12" s="108"/>
      <c r="AG12" s="105"/>
      <c r="AH12" s="106"/>
      <c r="AI12" s="107"/>
      <c r="AJ12" s="108"/>
      <c r="AK12" s="105"/>
      <c r="AL12" s="106"/>
      <c r="AM12" s="107"/>
      <c r="AN12" s="108"/>
      <c r="AO12" s="105"/>
      <c r="AP12" s="106"/>
      <c r="AQ12" s="107"/>
      <c r="AR12" s="108"/>
      <c r="AS12" s="105"/>
      <c r="AT12" s="106"/>
      <c r="AU12" s="107"/>
      <c r="AV12" s="108"/>
      <c r="AW12" s="105"/>
      <c r="AX12" s="106"/>
      <c r="AY12" s="107"/>
      <c r="AZ12" s="108"/>
      <c r="BA12" s="105"/>
      <c r="BB12" s="106"/>
      <c r="BC12" s="107"/>
      <c r="BD12" s="108"/>
      <c r="BE12" s="105"/>
      <c r="BF12" s="106"/>
      <c r="BG12" s="107"/>
      <c r="BH12" s="108"/>
      <c r="BI12" s="105"/>
      <c r="BJ12" s="106"/>
      <c r="BK12" s="107"/>
      <c r="BL12" s="108"/>
      <c r="BM12" s="105"/>
      <c r="BN12" s="106"/>
      <c r="BO12" s="107"/>
      <c r="BP12" s="108"/>
      <c r="BQ12" s="105"/>
      <c r="BR12" s="106"/>
      <c r="BS12" s="107"/>
      <c r="BT12" s="108"/>
      <c r="BU12" s="105"/>
      <c r="BV12" s="106"/>
      <c r="BW12" s="107"/>
      <c r="BX12" s="108"/>
      <c r="BY12" s="105"/>
      <c r="BZ12" s="106"/>
      <c r="CA12" s="107"/>
      <c r="CB12" s="108"/>
      <c r="CC12" s="105"/>
      <c r="CD12" s="106"/>
      <c r="CE12" s="107"/>
      <c r="CF12" s="108"/>
      <c r="CG12" s="105"/>
      <c r="CH12" s="106"/>
      <c r="CI12" s="107"/>
      <c r="CJ12" s="108"/>
      <c r="CK12" s="105"/>
      <c r="CL12" s="106"/>
      <c r="CM12" s="107"/>
      <c r="CN12" s="108"/>
      <c r="CO12" s="105"/>
      <c r="CP12" s="106"/>
      <c r="CQ12" s="107"/>
      <c r="CR12" s="108"/>
      <c r="CS12" s="105"/>
      <c r="CT12" s="106"/>
      <c r="CU12" s="107"/>
      <c r="CV12" s="108"/>
      <c r="CW12" s="105"/>
      <c r="CX12" s="106"/>
      <c r="CY12" s="107"/>
      <c r="CZ12" s="108"/>
      <c r="DA12" s="105"/>
      <c r="DB12" s="106"/>
      <c r="DC12" s="107"/>
      <c r="DD12" s="108"/>
      <c r="DE12" s="105"/>
      <c r="DF12" s="106"/>
      <c r="DG12" s="107"/>
      <c r="DH12" s="108"/>
      <c r="DI12" s="105"/>
      <c r="DJ12" s="106"/>
      <c r="DK12" s="107"/>
      <c r="DL12" s="108"/>
      <c r="DM12" s="105"/>
      <c r="DN12" s="106"/>
      <c r="DO12" s="107"/>
      <c r="DP12" s="108"/>
      <c r="DQ12" s="105"/>
      <c r="DR12" s="106"/>
      <c r="DS12" s="107"/>
      <c r="DT12" s="108"/>
      <c r="DU12" s="105"/>
      <c r="DV12" s="106"/>
      <c r="DW12" s="107"/>
      <c r="DX12" s="108"/>
      <c r="DY12" s="105"/>
      <c r="DZ12" s="106"/>
      <c r="EA12" s="107"/>
      <c r="EB12" s="108"/>
      <c r="EC12" s="105"/>
      <c r="ED12" s="106"/>
      <c r="EE12" s="107"/>
      <c r="EF12" s="108"/>
      <c r="EG12" s="105"/>
      <c r="EH12" s="106"/>
      <c r="EI12" s="107"/>
      <c r="EJ12" s="108"/>
      <c r="EK12" s="153">
        <f t="shared" ref="EK12:EK75" si="0">EM12-E12</f>
        <v>0</v>
      </c>
      <c r="EL12" s="153">
        <f t="shared" ref="EL12:EL75" si="1">EM12-EC12</f>
        <v>0</v>
      </c>
      <c r="EM12" s="105"/>
      <c r="EN12" s="106"/>
      <c r="EO12" s="107"/>
      <c r="EP12" s="108"/>
      <c r="EQ12" s="105"/>
      <c r="ER12" s="106"/>
      <c r="ES12" s="107"/>
      <c r="ET12" s="108"/>
    </row>
    <row r="13" spans="1:150" ht="29.4" customHeight="1" x14ac:dyDescent="0.3">
      <c r="A13" s="36" t="s">
        <v>23</v>
      </c>
      <c r="B13" s="37" t="s">
        <v>35</v>
      </c>
      <c r="C13" s="34" t="s">
        <v>22</v>
      </c>
      <c r="D13" s="139" t="s">
        <v>37</v>
      </c>
      <c r="E13" s="105">
        <f>SUM(F13,H13)</f>
        <v>74.38</v>
      </c>
      <c r="F13" s="106">
        <v>74.38</v>
      </c>
      <c r="G13" s="107">
        <v>65.2</v>
      </c>
      <c r="H13" s="108"/>
      <c r="I13" s="105">
        <f>SUM(J13,L13)</f>
        <v>0</v>
      </c>
      <c r="J13" s="106"/>
      <c r="K13" s="107"/>
      <c r="L13" s="108"/>
      <c r="M13" s="105">
        <f>SUM(N13,P13)</f>
        <v>0</v>
      </c>
      <c r="N13" s="106"/>
      <c r="O13" s="107"/>
      <c r="P13" s="108"/>
      <c r="Q13" s="105">
        <f>SUM(R13,T13)</f>
        <v>0</v>
      </c>
      <c r="R13" s="106"/>
      <c r="S13" s="107"/>
      <c r="T13" s="108"/>
      <c r="U13" s="105">
        <f>SUM(V13,X13)</f>
        <v>74.38</v>
      </c>
      <c r="V13" s="106">
        <f>F13+N13</f>
        <v>74.38</v>
      </c>
      <c r="W13" s="107">
        <f>G13+O13</f>
        <v>65.2</v>
      </c>
      <c r="X13" s="108">
        <f>H13+P13</f>
        <v>0</v>
      </c>
      <c r="Y13" s="105">
        <f>SUM(Z13,AB13)</f>
        <v>0</v>
      </c>
      <c r="Z13" s="106">
        <f>J13+R13</f>
        <v>0</v>
      </c>
      <c r="AA13" s="107">
        <f>K13+S13</f>
        <v>0</v>
      </c>
      <c r="AB13" s="108">
        <f>L13+T13</f>
        <v>0</v>
      </c>
      <c r="AC13" s="105">
        <f>SUM(AD13,AF13)</f>
        <v>0</v>
      </c>
      <c r="AD13" s="106"/>
      <c r="AE13" s="107"/>
      <c r="AF13" s="108"/>
      <c r="AG13" s="105">
        <f>SUM(AH13,AJ13)</f>
        <v>0</v>
      </c>
      <c r="AH13" s="106"/>
      <c r="AI13" s="107"/>
      <c r="AJ13" s="108"/>
      <c r="AK13" s="105">
        <f>SUM(AL13,AN13)</f>
        <v>74.38</v>
      </c>
      <c r="AL13" s="106">
        <f>V13+AD13</f>
        <v>74.38</v>
      </c>
      <c r="AM13" s="107">
        <f>W13+AE13</f>
        <v>65.2</v>
      </c>
      <c r="AN13" s="108">
        <f>X13+AF13</f>
        <v>0</v>
      </c>
      <c r="AO13" s="105">
        <f>SUM(AP13,AR13)</f>
        <v>0</v>
      </c>
      <c r="AP13" s="106">
        <f>Z13+AH13</f>
        <v>0</v>
      </c>
      <c r="AQ13" s="107">
        <f>AA13+AI13</f>
        <v>0</v>
      </c>
      <c r="AR13" s="108">
        <f>AB13+AJ13</f>
        <v>0</v>
      </c>
      <c r="AS13" s="105">
        <f>SUM(AT13,AV13)</f>
        <v>0</v>
      </c>
      <c r="AT13" s="106"/>
      <c r="AU13" s="107">
        <v>-0.28000000000000003</v>
      </c>
      <c r="AV13" s="108"/>
      <c r="AW13" s="105">
        <f>SUM(AX13,AZ13)</f>
        <v>0</v>
      </c>
      <c r="AX13" s="106"/>
      <c r="AY13" s="107"/>
      <c r="AZ13" s="108"/>
      <c r="BA13" s="105">
        <f>SUM(BB13,BD13)</f>
        <v>74.38</v>
      </c>
      <c r="BB13" s="106">
        <f>AL13+AT13</f>
        <v>74.38</v>
      </c>
      <c r="BC13" s="107">
        <f>AM13+AU13</f>
        <v>64.92</v>
      </c>
      <c r="BD13" s="108">
        <f>AN13+AV13</f>
        <v>0</v>
      </c>
      <c r="BE13" s="105">
        <f>SUM(BF13,BH13)</f>
        <v>0</v>
      </c>
      <c r="BF13" s="106">
        <f>AP13+AX13</f>
        <v>0</v>
      </c>
      <c r="BG13" s="107">
        <f>AQ13+AY13</f>
        <v>0</v>
      </c>
      <c r="BH13" s="108">
        <f>AR13+AZ13</f>
        <v>0</v>
      </c>
      <c r="BI13" s="105">
        <f>SUM(BJ13,BL13)</f>
        <v>0</v>
      </c>
      <c r="BJ13" s="106"/>
      <c r="BK13" s="107"/>
      <c r="BL13" s="108"/>
      <c r="BM13" s="105">
        <f>SUM(BN13,BP13)</f>
        <v>0</v>
      </c>
      <c r="BN13" s="106"/>
      <c r="BO13" s="107"/>
      <c r="BP13" s="108"/>
      <c r="BQ13" s="105">
        <f>SUM(BR13,BT13)</f>
        <v>74.38</v>
      </c>
      <c r="BR13" s="106">
        <f>BB13+BJ13</f>
        <v>74.38</v>
      </c>
      <c r="BS13" s="107">
        <f>BC13+BK13</f>
        <v>64.92</v>
      </c>
      <c r="BT13" s="108">
        <f>BD13+BL13</f>
        <v>0</v>
      </c>
      <c r="BU13" s="105">
        <f>SUM(BV13,BX13)</f>
        <v>0</v>
      </c>
      <c r="BV13" s="106">
        <f>BF13+BN13</f>
        <v>0</v>
      </c>
      <c r="BW13" s="107">
        <f>BG13+BO13</f>
        <v>0</v>
      </c>
      <c r="BX13" s="108">
        <f>BH13+BP13</f>
        <v>0</v>
      </c>
      <c r="BY13" s="105">
        <f>SUM(BZ13,CB13)</f>
        <v>0</v>
      </c>
      <c r="BZ13" s="106"/>
      <c r="CA13" s="107"/>
      <c r="CB13" s="108"/>
      <c r="CC13" s="105">
        <f>SUM(CD13,CF13)</f>
        <v>0</v>
      </c>
      <c r="CD13" s="106"/>
      <c r="CE13" s="107"/>
      <c r="CF13" s="108"/>
      <c r="CG13" s="105">
        <f>SUM(CH13,CJ13)</f>
        <v>74.38</v>
      </c>
      <c r="CH13" s="106">
        <f>BR13+BZ13</f>
        <v>74.38</v>
      </c>
      <c r="CI13" s="107">
        <f>BS13+CA13</f>
        <v>64.92</v>
      </c>
      <c r="CJ13" s="108">
        <f>BT13+CB13</f>
        <v>0</v>
      </c>
      <c r="CK13" s="105">
        <f>SUM(CL13,CN13)</f>
        <v>0</v>
      </c>
      <c r="CL13" s="106">
        <f>BV13+CD13</f>
        <v>0</v>
      </c>
      <c r="CM13" s="107">
        <f>BW13+CE13</f>
        <v>0</v>
      </c>
      <c r="CN13" s="108">
        <f>BX13+CF13</f>
        <v>0</v>
      </c>
      <c r="CO13" s="105">
        <f>SUM(CP13,CR13)</f>
        <v>0</v>
      </c>
      <c r="CP13" s="106"/>
      <c r="CQ13" s="107"/>
      <c r="CR13" s="108"/>
      <c r="CS13" s="105">
        <f>SUM(CT13,CV13)</f>
        <v>0</v>
      </c>
      <c r="CT13" s="106"/>
      <c r="CU13" s="107"/>
      <c r="CV13" s="108"/>
      <c r="CW13" s="105">
        <f>SUM(CX13,CZ13)</f>
        <v>74.38</v>
      </c>
      <c r="CX13" s="106">
        <f>CH13+CP13</f>
        <v>74.38</v>
      </c>
      <c r="CY13" s="107">
        <f>CI13+CQ13</f>
        <v>64.92</v>
      </c>
      <c r="CZ13" s="108">
        <f>CJ13+CR13</f>
        <v>0</v>
      </c>
      <c r="DA13" s="105">
        <f>SUM(DB13,DD13)</f>
        <v>0</v>
      </c>
      <c r="DB13" s="106">
        <f>CL13+CT13</f>
        <v>0</v>
      </c>
      <c r="DC13" s="107">
        <f>CM13+CU13</f>
        <v>0</v>
      </c>
      <c r="DD13" s="108">
        <f>CN13+CV13</f>
        <v>0</v>
      </c>
      <c r="DE13" s="105">
        <f>SUM(DF13,DH13)</f>
        <v>0</v>
      </c>
      <c r="DF13" s="106">
        <v>-0.4</v>
      </c>
      <c r="DG13" s="107">
        <v>-8</v>
      </c>
      <c r="DH13" s="108">
        <v>0.4</v>
      </c>
      <c r="DI13" s="105">
        <f>SUM(DJ13,DL13)</f>
        <v>0</v>
      </c>
      <c r="DJ13" s="106"/>
      <c r="DK13" s="107"/>
      <c r="DL13" s="108"/>
      <c r="DM13" s="105">
        <f>SUM(DN13,DP13)</f>
        <v>74.38</v>
      </c>
      <c r="DN13" s="106">
        <f>CX13+DF13</f>
        <v>73.97999999999999</v>
      </c>
      <c r="DO13" s="107">
        <f>CY13+DG13</f>
        <v>56.92</v>
      </c>
      <c r="DP13" s="108">
        <f>CZ13+DH13</f>
        <v>0.4</v>
      </c>
      <c r="DQ13" s="105">
        <f>SUM(DR13,DT13)</f>
        <v>0</v>
      </c>
      <c r="DR13" s="106">
        <f>DB13+DJ13</f>
        <v>0</v>
      </c>
      <c r="DS13" s="107">
        <f>DC13+DK13</f>
        <v>0</v>
      </c>
      <c r="DT13" s="108">
        <f>DD13+DL13</f>
        <v>0</v>
      </c>
      <c r="DU13" s="105">
        <f>SUM(DV13,DX13)</f>
        <v>0</v>
      </c>
      <c r="DV13" s="106"/>
      <c r="DW13" s="107"/>
      <c r="DX13" s="108"/>
      <c r="DY13" s="105">
        <f>SUM(DZ13,EB13)</f>
        <v>0</v>
      </c>
      <c r="DZ13" s="106"/>
      <c r="EA13" s="107"/>
      <c r="EB13" s="108"/>
      <c r="EC13" s="105">
        <f>SUM(ED13,EF13)</f>
        <v>74.38</v>
      </c>
      <c r="ED13" s="106">
        <f>DN13+DV13</f>
        <v>73.97999999999999</v>
      </c>
      <c r="EE13" s="107">
        <f>DO13+DW13</f>
        <v>56.92</v>
      </c>
      <c r="EF13" s="108">
        <f>DP13+DX13</f>
        <v>0.4</v>
      </c>
      <c r="EG13" s="105">
        <f>SUM(EH13,EJ13)</f>
        <v>0</v>
      </c>
      <c r="EH13" s="106">
        <f>DR13+DZ13</f>
        <v>0</v>
      </c>
      <c r="EI13" s="107">
        <f>DS13+EA13</f>
        <v>0</v>
      </c>
      <c r="EJ13" s="108">
        <f>DT13+EB13</f>
        <v>0</v>
      </c>
      <c r="EK13" s="154">
        <f t="shared" si="0"/>
        <v>-2.0499999999999972</v>
      </c>
      <c r="EL13" s="154">
        <f t="shared" si="1"/>
        <v>-2.0499999999999972</v>
      </c>
      <c r="EM13" s="105">
        <f>SUM(EN13,EP13)</f>
        <v>72.33</v>
      </c>
      <c r="EN13" s="106">
        <v>71.33</v>
      </c>
      <c r="EO13" s="107">
        <v>63.36</v>
      </c>
      <c r="EP13" s="108">
        <v>1</v>
      </c>
      <c r="EQ13" s="105">
        <f>SUM(ER13,ET13)</f>
        <v>0</v>
      </c>
      <c r="ER13" s="106"/>
      <c r="ES13" s="107"/>
      <c r="ET13" s="108"/>
    </row>
    <row r="14" spans="1:150" s="4" customFormat="1" ht="25.25" customHeight="1" x14ac:dyDescent="0.3">
      <c r="A14" s="38"/>
      <c r="B14" s="39" t="s">
        <v>21</v>
      </c>
      <c r="C14" s="104" t="s">
        <v>126</v>
      </c>
      <c r="D14" s="91"/>
      <c r="E14" s="148">
        <f>SUM(H14,F14)</f>
        <v>11921.059999999998</v>
      </c>
      <c r="F14" s="149">
        <f>SUM(F19:F33)</f>
        <v>8107.6129999999985</v>
      </c>
      <c r="G14" s="150">
        <f>SUM(G19:G33)</f>
        <v>2436.2469999999998</v>
      </c>
      <c r="H14" s="151">
        <f>SUM(H19:H33)</f>
        <v>3813.4470000000001</v>
      </c>
      <c r="I14" s="148">
        <f>SUM(L14,J14)</f>
        <v>3040.2619999999997</v>
      </c>
      <c r="J14" s="149">
        <f>SUM(J19:J33)</f>
        <v>799.28899999999999</v>
      </c>
      <c r="K14" s="150">
        <f>SUM(K19:K33)</f>
        <v>18.987000000000002</v>
      </c>
      <c r="L14" s="151">
        <f>SUM(L19:L33)</f>
        <v>2240.9729999999995</v>
      </c>
      <c r="M14" s="148">
        <f>SUM(P14,N14)</f>
        <v>-2.0270000000000001</v>
      </c>
      <c r="N14" s="149">
        <f>SUM(N19:N33)</f>
        <v>3</v>
      </c>
      <c r="O14" s="150">
        <f>SUM(O19:O33)</f>
        <v>0</v>
      </c>
      <c r="P14" s="151">
        <f>SUM(P19:P33)</f>
        <v>-5.0270000000000001</v>
      </c>
      <c r="Q14" s="148">
        <f>SUM(T14,R14)</f>
        <v>-2.0270000000000001</v>
      </c>
      <c r="R14" s="149">
        <f>SUM(R19:R33)</f>
        <v>1</v>
      </c>
      <c r="S14" s="150">
        <f>SUM(S19:S33)</f>
        <v>0</v>
      </c>
      <c r="T14" s="151">
        <f>SUM(T19:T33)</f>
        <v>-3.0270000000000001</v>
      </c>
      <c r="U14" s="148">
        <f>SUM(X14,V14)</f>
        <v>11919.032999999999</v>
      </c>
      <c r="V14" s="149">
        <f>SUM(V19:V33)</f>
        <v>8110.6129999999985</v>
      </c>
      <c r="W14" s="150">
        <f>SUM(W19:W33)</f>
        <v>2436.2469999999998</v>
      </c>
      <c r="X14" s="151">
        <f>SUM(X19:X33)</f>
        <v>3808.42</v>
      </c>
      <c r="Y14" s="148">
        <f>SUM(AB14,Z14)</f>
        <v>3038.2349999999997</v>
      </c>
      <c r="Z14" s="149">
        <f>SUM(Z19:Z33)</f>
        <v>800.28899999999999</v>
      </c>
      <c r="AA14" s="150">
        <f>SUM(AA19:AA33)</f>
        <v>18.987000000000002</v>
      </c>
      <c r="AB14" s="151">
        <f>SUM(AB19:AB33)</f>
        <v>2237.9459999999995</v>
      </c>
      <c r="AC14" s="148">
        <f>SUM(AF14,AD14)</f>
        <v>-41.713000000000001</v>
      </c>
      <c r="AD14" s="149">
        <f>SUM(AD19:AD33)</f>
        <v>-26.866</v>
      </c>
      <c r="AE14" s="150">
        <f>SUM(AE19:AE33)</f>
        <v>0</v>
      </c>
      <c r="AF14" s="151">
        <f>SUM(AF19:AF33)</f>
        <v>-14.847</v>
      </c>
      <c r="AG14" s="148">
        <f>SUM(AJ14,AH14)</f>
        <v>0.153</v>
      </c>
      <c r="AH14" s="149">
        <f>SUM(AH19:AH33)</f>
        <v>0</v>
      </c>
      <c r="AI14" s="150">
        <f>SUM(AI19:AI33)</f>
        <v>0</v>
      </c>
      <c r="AJ14" s="151">
        <f>SUM(AJ19:AJ33)</f>
        <v>0.153</v>
      </c>
      <c r="AK14" s="148">
        <f>SUM(AN14,AL14)</f>
        <v>11877.319999999998</v>
      </c>
      <c r="AL14" s="149">
        <f>SUM(AL19:AL33)</f>
        <v>8083.7469999999985</v>
      </c>
      <c r="AM14" s="150">
        <f>SUM(AM19:AM33)</f>
        <v>2436.2469999999998</v>
      </c>
      <c r="AN14" s="151">
        <f>SUM(AN19:AN33)</f>
        <v>3793.5729999999999</v>
      </c>
      <c r="AO14" s="148">
        <f>SUM(AR14,AP14)</f>
        <v>3038.387999999999</v>
      </c>
      <c r="AP14" s="149">
        <f>SUM(AP19:AP33)</f>
        <v>800.28899999999999</v>
      </c>
      <c r="AQ14" s="150">
        <f>SUM(AQ19:AQ33)</f>
        <v>18.987000000000002</v>
      </c>
      <c r="AR14" s="151">
        <f>SUM(AR19:AR33)</f>
        <v>2238.0989999999993</v>
      </c>
      <c r="AS14" s="148">
        <f>SUM(AV14,AT14)</f>
        <v>-138.09100000000001</v>
      </c>
      <c r="AT14" s="149">
        <f>SUM(AT19:AT33)</f>
        <v>-103.11799999999999</v>
      </c>
      <c r="AU14" s="150">
        <f>SUM(AU19:AU33)</f>
        <v>-2.5350000000000001</v>
      </c>
      <c r="AV14" s="151">
        <f>SUM(AV19:AV33)</f>
        <v>-34.972999999999999</v>
      </c>
      <c r="AW14" s="148">
        <f>SUM(AZ14,AX14)</f>
        <v>0</v>
      </c>
      <c r="AX14" s="149">
        <f>SUM(AX19:AX33)</f>
        <v>6.41</v>
      </c>
      <c r="AY14" s="150">
        <f>SUM(AY19:AY33)</f>
        <v>0</v>
      </c>
      <c r="AZ14" s="151">
        <f>SUM(AZ19:AZ33)</f>
        <v>-6.41</v>
      </c>
      <c r="BA14" s="148">
        <f>SUM(BD14,BB14)</f>
        <v>11739.228999999998</v>
      </c>
      <c r="BB14" s="149">
        <f>SUM(BB19:BB33)</f>
        <v>7980.6289999999981</v>
      </c>
      <c r="BC14" s="150">
        <f>SUM(BC19:BC33)</f>
        <v>2433.712</v>
      </c>
      <c r="BD14" s="151">
        <f>SUM(BD19:BD33)</f>
        <v>3758.6</v>
      </c>
      <c r="BE14" s="148">
        <f>SUM(BH14,BF14)</f>
        <v>3038.3879999999995</v>
      </c>
      <c r="BF14" s="149">
        <f>SUM(BF19:BF33)</f>
        <v>806.69900000000007</v>
      </c>
      <c r="BG14" s="150">
        <f>SUM(BG19:BG33)</f>
        <v>18.987000000000002</v>
      </c>
      <c r="BH14" s="151">
        <f>SUM(BH19:BH33)</f>
        <v>2231.6889999999994</v>
      </c>
      <c r="BI14" s="148">
        <f>SUM(BL14,BJ14)</f>
        <v>4.4489999999999945</v>
      </c>
      <c r="BJ14" s="149">
        <f>SUM(BJ19:BJ33)</f>
        <v>22.468999999999994</v>
      </c>
      <c r="BK14" s="150">
        <f>SUM(BK19:BK33)</f>
        <v>10</v>
      </c>
      <c r="BL14" s="151">
        <f>SUM(BL19:BL33)</f>
        <v>-18.02</v>
      </c>
      <c r="BM14" s="148">
        <f>SUM(BP14,BN14)</f>
        <v>30</v>
      </c>
      <c r="BN14" s="149">
        <f>SUM(BN19:BN33)</f>
        <v>40.847999999999999</v>
      </c>
      <c r="BO14" s="150">
        <f>SUM(BO19:BO33)</f>
        <v>10</v>
      </c>
      <c r="BP14" s="151">
        <f>SUM(BP19:BP33)</f>
        <v>-10.848000000000001</v>
      </c>
      <c r="BQ14" s="148">
        <f>SUM(BT14,BR14)</f>
        <v>11743.678</v>
      </c>
      <c r="BR14" s="149">
        <f>SUM(BR19:BR33)</f>
        <v>8003.097999999999</v>
      </c>
      <c r="BS14" s="150">
        <f>SUM(BS19:BS33)</f>
        <v>2443.712</v>
      </c>
      <c r="BT14" s="151">
        <f>SUM(BT19:BT33)</f>
        <v>3740.5800000000004</v>
      </c>
      <c r="BU14" s="148">
        <f>SUM(BX14,BV14)</f>
        <v>3068.3879999999995</v>
      </c>
      <c r="BV14" s="149">
        <f>SUM(BV19:BV33)</f>
        <v>847.54700000000003</v>
      </c>
      <c r="BW14" s="150">
        <f>SUM(BW19:BW33)</f>
        <v>28.987000000000002</v>
      </c>
      <c r="BX14" s="151">
        <f>SUM(BX19:BX33)</f>
        <v>2220.8409999999994</v>
      </c>
      <c r="BY14" s="148">
        <f>SUM(CB14,BZ14)</f>
        <v>-30.527000000000001</v>
      </c>
      <c r="BZ14" s="149">
        <f>SUM(BZ19:BZ33)</f>
        <v>-19.148</v>
      </c>
      <c r="CA14" s="150">
        <f>SUM(CA19:CA33)</f>
        <v>-4.0990000000000002</v>
      </c>
      <c r="CB14" s="151">
        <f>SUM(CB19:CB33)</f>
        <v>-11.379000000000001</v>
      </c>
      <c r="CC14" s="148">
        <f>SUM(CF14,CD14)</f>
        <v>-4.8600000000000003</v>
      </c>
      <c r="CD14" s="149">
        <f>SUM(CD19:CD33)</f>
        <v>-4.6100000000000003</v>
      </c>
      <c r="CE14" s="150">
        <f>SUM(CE19:CE33)</f>
        <v>0</v>
      </c>
      <c r="CF14" s="151">
        <f>SUM(CF19:CF33)</f>
        <v>-0.25</v>
      </c>
      <c r="CG14" s="148">
        <f>SUM(CJ14,CH14)</f>
        <v>11713.150999999998</v>
      </c>
      <c r="CH14" s="149">
        <f>SUM(CH19:CH33)</f>
        <v>7983.949999999998</v>
      </c>
      <c r="CI14" s="150">
        <f>SUM(CI19:CI33)</f>
        <v>2439.6129999999998</v>
      </c>
      <c r="CJ14" s="151">
        <f>SUM(CJ19:CJ33)</f>
        <v>3729.2010000000005</v>
      </c>
      <c r="CK14" s="148">
        <f>SUM(CN14,CL14)</f>
        <v>3063.5279999999993</v>
      </c>
      <c r="CL14" s="149">
        <f>SUM(CL19:CL33)</f>
        <v>842.93700000000001</v>
      </c>
      <c r="CM14" s="150">
        <f>SUM(CM19:CM33)</f>
        <v>28.987000000000002</v>
      </c>
      <c r="CN14" s="151">
        <f>SUM(CN19:CN33)</f>
        <v>2220.5909999999994</v>
      </c>
      <c r="CO14" s="148">
        <f>SUM(CR14,CP14)</f>
        <v>-26.178999999999998</v>
      </c>
      <c r="CP14" s="149">
        <f>SUM(CP19:CP33)</f>
        <v>-14.873999999999999</v>
      </c>
      <c r="CQ14" s="150">
        <f>SUM(CQ19:CQ33)</f>
        <v>0</v>
      </c>
      <c r="CR14" s="151">
        <f>SUM(CR19:CR33)</f>
        <v>-11.305</v>
      </c>
      <c r="CS14" s="148">
        <f>SUM(CV14,CT14)</f>
        <v>0</v>
      </c>
      <c r="CT14" s="149">
        <f>SUM(CT19:CT33)</f>
        <v>6.0190000000000001</v>
      </c>
      <c r="CU14" s="150">
        <f>SUM(CU19:CU33)</f>
        <v>0</v>
      </c>
      <c r="CV14" s="151">
        <f>SUM(CV19:CV33)</f>
        <v>-6.0190000000000001</v>
      </c>
      <c r="CW14" s="148">
        <f>SUM(CZ14,CX14)</f>
        <v>11686.972</v>
      </c>
      <c r="CX14" s="149">
        <f>SUM(CX19:CX33)</f>
        <v>7969.0759999999991</v>
      </c>
      <c r="CY14" s="150">
        <f>SUM(CY19:CY33)</f>
        <v>2439.6129999999998</v>
      </c>
      <c r="CZ14" s="151">
        <f>SUM(CZ19:CZ33)</f>
        <v>3717.8960000000002</v>
      </c>
      <c r="DA14" s="148">
        <f>SUM(DD14,DB14)</f>
        <v>3063.5279999999998</v>
      </c>
      <c r="DB14" s="149">
        <f>SUM(DB19:DB33)</f>
        <v>848.95600000000002</v>
      </c>
      <c r="DC14" s="150">
        <f>SUM(DC19:DC33)</f>
        <v>28.987000000000002</v>
      </c>
      <c r="DD14" s="151">
        <f>SUM(DD19:DD33)</f>
        <v>2214.5719999999997</v>
      </c>
      <c r="DE14" s="148">
        <f>SUM(DH14,DF14)</f>
        <v>-35.256</v>
      </c>
      <c r="DF14" s="149">
        <f>SUM(DF19:DF33)</f>
        <v>-48.444000000000003</v>
      </c>
      <c r="DG14" s="150">
        <f>SUM(DG19:DG33)</f>
        <v>0</v>
      </c>
      <c r="DH14" s="151">
        <f>SUM(DH19:DH33)</f>
        <v>13.187999999999999</v>
      </c>
      <c r="DI14" s="148">
        <f>SUM(DL14,DJ14)</f>
        <v>0</v>
      </c>
      <c r="DJ14" s="149">
        <f>SUM(DJ19:DJ33)</f>
        <v>0</v>
      </c>
      <c r="DK14" s="150">
        <f>SUM(DK19:DK33)</f>
        <v>0</v>
      </c>
      <c r="DL14" s="151">
        <f>SUM(DL19:DL33)</f>
        <v>0</v>
      </c>
      <c r="DM14" s="148">
        <f>SUM(DP14,DN14)</f>
        <v>11651.715999999999</v>
      </c>
      <c r="DN14" s="149">
        <f>SUM(DN19:DN33)</f>
        <v>7920.6319999999987</v>
      </c>
      <c r="DO14" s="150">
        <f>SUM(DO19:DO33)</f>
        <v>2439.6129999999998</v>
      </c>
      <c r="DP14" s="151">
        <f>SUM(DP19:DP33)</f>
        <v>3731.0839999999998</v>
      </c>
      <c r="DQ14" s="148">
        <f>SUM(DT14,DR14)</f>
        <v>3063.5279999999998</v>
      </c>
      <c r="DR14" s="149">
        <f>SUM(DR19:DR33)</f>
        <v>848.95600000000002</v>
      </c>
      <c r="DS14" s="150">
        <f>SUM(DS19:DS33)</f>
        <v>28.987000000000002</v>
      </c>
      <c r="DT14" s="151">
        <f>SUM(DT19:DT33)</f>
        <v>2214.5719999999997</v>
      </c>
      <c r="DU14" s="148">
        <f>SUM(DX14,DV14)</f>
        <v>-2.4719999999999978</v>
      </c>
      <c r="DV14" s="149">
        <f>SUM(DV19:DV33)</f>
        <v>23.844000000000001</v>
      </c>
      <c r="DW14" s="150">
        <f>SUM(DW19:DW33)</f>
        <v>-15.91</v>
      </c>
      <c r="DX14" s="151">
        <f>SUM(DX19:DX33)</f>
        <v>-26.315999999999999</v>
      </c>
      <c r="DY14" s="148">
        <f>SUM(EB14,DZ14)</f>
        <v>0</v>
      </c>
      <c r="DZ14" s="149">
        <f>SUM(DZ19:DZ33)</f>
        <v>0</v>
      </c>
      <c r="EA14" s="150">
        <f>SUM(EA19:EA33)</f>
        <v>0</v>
      </c>
      <c r="EB14" s="151">
        <f>SUM(EB19:EB33)</f>
        <v>0</v>
      </c>
      <c r="EC14" s="148">
        <f>SUM(EF14,ED14)</f>
        <v>11649.243999999999</v>
      </c>
      <c r="ED14" s="149">
        <f>SUM(ED19:ED33)</f>
        <v>7944.4759999999978</v>
      </c>
      <c r="EE14" s="150">
        <f>SUM(EE19:EE33)</f>
        <v>2423.703</v>
      </c>
      <c r="EF14" s="151">
        <f>SUM(EF19:EF33)</f>
        <v>3704.768</v>
      </c>
      <c r="EG14" s="148">
        <f>SUM(EJ14,EH14)</f>
        <v>3063.5279999999998</v>
      </c>
      <c r="EH14" s="149">
        <f>SUM(EH19:EH33)</f>
        <v>848.95600000000002</v>
      </c>
      <c r="EI14" s="150">
        <f>SUM(EI19:EI33)</f>
        <v>28.987000000000002</v>
      </c>
      <c r="EJ14" s="151">
        <f>SUM(EJ19:EJ33)</f>
        <v>2214.5719999999997</v>
      </c>
      <c r="EK14" s="155">
        <f t="shared" si="0"/>
        <v>2306.4870000000028</v>
      </c>
      <c r="EL14" s="155">
        <f t="shared" si="1"/>
        <v>2578.3030000000017</v>
      </c>
      <c r="EM14" s="148">
        <f>SUM(EP14,EN14)</f>
        <v>14227.547</v>
      </c>
      <c r="EN14" s="149">
        <f>SUM(EN19:EN33)</f>
        <v>8534.0560000000005</v>
      </c>
      <c r="EO14" s="150">
        <f>SUM(EO19:EO33)</f>
        <v>2692.2330000000002</v>
      </c>
      <c r="EP14" s="151">
        <f>SUM(EP19:EP33)-EP30</f>
        <v>5693.491</v>
      </c>
      <c r="EQ14" s="148">
        <f>SUM(ET14,ER14)</f>
        <v>5003.93</v>
      </c>
      <c r="ER14" s="149">
        <f>SUM(ER19:ER33)</f>
        <v>1319.6869999999999</v>
      </c>
      <c r="ES14" s="150">
        <f>SUM(ES19:ES33)</f>
        <v>47.312999999999995</v>
      </c>
      <c r="ET14" s="151">
        <f>SUM(ET19:ET33)</f>
        <v>3684.2429999999999</v>
      </c>
    </row>
    <row r="15" spans="1:150" s="4" customFormat="1" ht="15" customHeight="1" x14ac:dyDescent="0.3">
      <c r="A15" s="40"/>
      <c r="B15" s="6" t="s">
        <v>2</v>
      </c>
      <c r="C15" s="34"/>
      <c r="D15" s="91"/>
      <c r="E15" s="105"/>
      <c r="F15" s="106"/>
      <c r="G15" s="107"/>
      <c r="H15" s="108"/>
      <c r="I15" s="105"/>
      <c r="J15" s="106"/>
      <c r="K15" s="107"/>
      <c r="L15" s="108"/>
      <c r="M15" s="105"/>
      <c r="N15" s="106"/>
      <c r="O15" s="107"/>
      <c r="P15" s="108"/>
      <c r="Q15" s="105"/>
      <c r="R15" s="106"/>
      <c r="S15" s="107"/>
      <c r="T15" s="108"/>
      <c r="U15" s="105"/>
      <c r="V15" s="106"/>
      <c r="W15" s="107"/>
      <c r="X15" s="108"/>
      <c r="Y15" s="105"/>
      <c r="Z15" s="106"/>
      <c r="AA15" s="107"/>
      <c r="AB15" s="108"/>
      <c r="AC15" s="105"/>
      <c r="AD15" s="106"/>
      <c r="AE15" s="107"/>
      <c r="AF15" s="108"/>
      <c r="AG15" s="105"/>
      <c r="AH15" s="106"/>
      <c r="AI15" s="107"/>
      <c r="AJ15" s="108"/>
      <c r="AK15" s="105"/>
      <c r="AL15" s="106"/>
      <c r="AM15" s="107"/>
      <c r="AN15" s="108"/>
      <c r="AO15" s="105"/>
      <c r="AP15" s="106"/>
      <c r="AQ15" s="107"/>
      <c r="AR15" s="108"/>
      <c r="AS15" s="105"/>
      <c r="AT15" s="106"/>
      <c r="AU15" s="107"/>
      <c r="AV15" s="108"/>
      <c r="AW15" s="105"/>
      <c r="AX15" s="106"/>
      <c r="AY15" s="107"/>
      <c r="AZ15" s="108"/>
      <c r="BA15" s="105"/>
      <c r="BB15" s="106"/>
      <c r="BC15" s="107"/>
      <c r="BD15" s="108"/>
      <c r="BE15" s="105"/>
      <c r="BF15" s="106"/>
      <c r="BG15" s="107"/>
      <c r="BH15" s="108"/>
      <c r="BI15" s="105"/>
      <c r="BJ15" s="106"/>
      <c r="BK15" s="107"/>
      <c r="BL15" s="108"/>
      <c r="BM15" s="105"/>
      <c r="BN15" s="106"/>
      <c r="BO15" s="107"/>
      <c r="BP15" s="108"/>
      <c r="BQ15" s="105"/>
      <c r="BR15" s="106"/>
      <c r="BS15" s="107"/>
      <c r="BT15" s="108"/>
      <c r="BU15" s="105"/>
      <c r="BV15" s="106"/>
      <c r="BW15" s="107"/>
      <c r="BX15" s="108"/>
      <c r="BY15" s="105"/>
      <c r="BZ15" s="106"/>
      <c r="CA15" s="107"/>
      <c r="CB15" s="108"/>
      <c r="CC15" s="105"/>
      <c r="CD15" s="106"/>
      <c r="CE15" s="107"/>
      <c r="CF15" s="108"/>
      <c r="CG15" s="105"/>
      <c r="CH15" s="106"/>
      <c r="CI15" s="107"/>
      <c r="CJ15" s="108"/>
      <c r="CK15" s="105"/>
      <c r="CL15" s="106"/>
      <c r="CM15" s="107"/>
      <c r="CN15" s="108"/>
      <c r="CO15" s="105"/>
      <c r="CP15" s="106"/>
      <c r="CQ15" s="107"/>
      <c r="CR15" s="108"/>
      <c r="CS15" s="105"/>
      <c r="CT15" s="106"/>
      <c r="CU15" s="107"/>
      <c r="CV15" s="108"/>
      <c r="CW15" s="105"/>
      <c r="CX15" s="106"/>
      <c r="CY15" s="107"/>
      <c r="CZ15" s="108"/>
      <c r="DA15" s="105"/>
      <c r="DB15" s="106"/>
      <c r="DC15" s="107"/>
      <c r="DD15" s="108"/>
      <c r="DE15" s="105"/>
      <c r="DF15" s="106"/>
      <c r="DG15" s="107"/>
      <c r="DH15" s="108"/>
      <c r="DI15" s="105"/>
      <c r="DJ15" s="106"/>
      <c r="DK15" s="107"/>
      <c r="DL15" s="108"/>
      <c r="DM15" s="105"/>
      <c r="DN15" s="106"/>
      <c r="DO15" s="107"/>
      <c r="DP15" s="108"/>
      <c r="DQ15" s="105"/>
      <c r="DR15" s="106"/>
      <c r="DS15" s="107"/>
      <c r="DT15" s="108"/>
      <c r="DU15" s="105"/>
      <c r="DV15" s="106"/>
      <c r="DW15" s="107"/>
      <c r="DX15" s="108"/>
      <c r="DY15" s="105"/>
      <c r="DZ15" s="106"/>
      <c r="EA15" s="107"/>
      <c r="EB15" s="108"/>
      <c r="EC15" s="105"/>
      <c r="ED15" s="106"/>
      <c r="EE15" s="107"/>
      <c r="EF15" s="108"/>
      <c r="EG15" s="105"/>
      <c r="EH15" s="106"/>
      <c r="EI15" s="107"/>
      <c r="EJ15" s="108"/>
      <c r="EK15" s="153">
        <f t="shared" si="0"/>
        <v>0</v>
      </c>
      <c r="EL15" s="153">
        <f t="shared" si="1"/>
        <v>0</v>
      </c>
      <c r="EM15" s="105"/>
      <c r="EN15" s="106"/>
      <c r="EO15" s="107"/>
      <c r="EP15" s="108"/>
      <c r="EQ15" s="105"/>
      <c r="ER15" s="106"/>
      <c r="ES15" s="107"/>
      <c r="ET15" s="108"/>
    </row>
    <row r="16" spans="1:150" s="4" customFormat="1" ht="21" customHeight="1" x14ac:dyDescent="0.35">
      <c r="A16" s="41"/>
      <c r="B16" s="109" t="s">
        <v>124</v>
      </c>
      <c r="C16" s="110"/>
      <c r="D16" s="111"/>
      <c r="E16" s="156">
        <f>SUM(H16,F16)</f>
        <v>301.39999999999998</v>
      </c>
      <c r="F16" s="157">
        <f>162.51+52.39+26.1+12+12+5.2</f>
        <v>270.2</v>
      </c>
      <c r="G16" s="158">
        <f>123.3+10.7+1.2</f>
        <v>135.19999999999999</v>
      </c>
      <c r="H16" s="159">
        <f>31.2</f>
        <v>31.2</v>
      </c>
      <c r="I16" s="156">
        <f>SUM(L16,J16)</f>
        <v>0</v>
      </c>
      <c r="J16" s="157"/>
      <c r="K16" s="158"/>
      <c r="L16" s="159"/>
      <c r="M16" s="156">
        <f>SUM(P16,N16)</f>
        <v>0</v>
      </c>
      <c r="N16" s="157"/>
      <c r="O16" s="158"/>
      <c r="P16" s="159"/>
      <c r="Q16" s="156">
        <f>SUM(T16,R16)</f>
        <v>0</v>
      </c>
      <c r="R16" s="157"/>
      <c r="S16" s="158"/>
      <c r="T16" s="159"/>
      <c r="U16" s="156">
        <f>SUM(V16,X16)</f>
        <v>301.39999999999998</v>
      </c>
      <c r="V16" s="157">
        <f t="shared" ref="V16:X19" si="2">F16+N16</f>
        <v>270.2</v>
      </c>
      <c r="W16" s="158">
        <f t="shared" si="2"/>
        <v>135.19999999999999</v>
      </c>
      <c r="X16" s="159">
        <f t="shared" si="2"/>
        <v>31.2</v>
      </c>
      <c r="Y16" s="105">
        <f>SUM(Z16,AB16)</f>
        <v>0</v>
      </c>
      <c r="Z16" s="106">
        <f t="shared" ref="Z16:AB19" si="3">J16+R16</f>
        <v>0</v>
      </c>
      <c r="AA16" s="107">
        <f t="shared" si="3"/>
        <v>0</v>
      </c>
      <c r="AB16" s="108">
        <f t="shared" si="3"/>
        <v>0</v>
      </c>
      <c r="AC16" s="156">
        <f>SUM(AF16,AD16)</f>
        <v>0</v>
      </c>
      <c r="AD16" s="157"/>
      <c r="AE16" s="158"/>
      <c r="AF16" s="159"/>
      <c r="AG16" s="156">
        <f>SUM(AJ16,AH16)</f>
        <v>0</v>
      </c>
      <c r="AH16" s="157"/>
      <c r="AI16" s="158"/>
      <c r="AJ16" s="159"/>
      <c r="AK16" s="156">
        <f>SUM(AL16,AN16)</f>
        <v>301.39999999999998</v>
      </c>
      <c r="AL16" s="157">
        <f t="shared" ref="AL16:AL36" si="4">V16+AD16</f>
        <v>270.2</v>
      </c>
      <c r="AM16" s="158">
        <f t="shared" ref="AM16:AM36" si="5">W16+AE16</f>
        <v>135.19999999999999</v>
      </c>
      <c r="AN16" s="159">
        <f t="shared" ref="AN16:AN36" si="6">X16+AF16</f>
        <v>31.2</v>
      </c>
      <c r="AO16" s="105">
        <f>SUM(AP16,AR16)</f>
        <v>0</v>
      </c>
      <c r="AP16" s="106">
        <f t="shared" ref="AP16:AP27" si="7">Z16+AH16</f>
        <v>0</v>
      </c>
      <c r="AQ16" s="107">
        <f t="shared" ref="AQ16:AQ36" si="8">AA16+AI16</f>
        <v>0</v>
      </c>
      <c r="AR16" s="108">
        <f t="shared" ref="AR16:AR24" si="9">AB16+AJ16</f>
        <v>0</v>
      </c>
      <c r="AS16" s="156">
        <f>SUM(AV16,AT16)</f>
        <v>0</v>
      </c>
      <c r="AT16" s="157"/>
      <c r="AU16" s="158"/>
      <c r="AV16" s="159"/>
      <c r="AW16" s="156">
        <f>SUM(AZ16,AX16)</f>
        <v>0</v>
      </c>
      <c r="AX16" s="157"/>
      <c r="AY16" s="158"/>
      <c r="AZ16" s="159"/>
      <c r="BA16" s="156">
        <f>SUM(BB16,BD16)</f>
        <v>301.39999999999998</v>
      </c>
      <c r="BB16" s="157">
        <f t="shared" ref="BB16:BB36" si="10">AL16+AT16</f>
        <v>270.2</v>
      </c>
      <c r="BC16" s="158">
        <f t="shared" ref="BC16:BC36" si="11">AM16+AU16</f>
        <v>135.19999999999999</v>
      </c>
      <c r="BD16" s="159">
        <f t="shared" ref="BD16:BD36" si="12">AN16+AV16</f>
        <v>31.2</v>
      </c>
      <c r="BE16" s="105">
        <f>SUM(BF16,BH16)</f>
        <v>0</v>
      </c>
      <c r="BF16" s="106">
        <f t="shared" ref="BF16:BF27" si="13">AP16+AX16</f>
        <v>0</v>
      </c>
      <c r="BG16" s="107">
        <f t="shared" ref="BG16:BG36" si="14">AQ16+AY16</f>
        <v>0</v>
      </c>
      <c r="BH16" s="108">
        <f t="shared" ref="BH16:BH24" si="15">AR16+AZ16</f>
        <v>0</v>
      </c>
      <c r="BI16" s="156">
        <f>SUM(BL16,BJ16)</f>
        <v>-25.376999999999999</v>
      </c>
      <c r="BJ16" s="157">
        <v>-25.376999999999999</v>
      </c>
      <c r="BK16" s="158">
        <v>-24.552</v>
      </c>
      <c r="BL16" s="159"/>
      <c r="BM16" s="156">
        <f>SUM(BP16,BN16)</f>
        <v>0</v>
      </c>
      <c r="BN16" s="157"/>
      <c r="BO16" s="158"/>
      <c r="BP16" s="159"/>
      <c r="BQ16" s="156">
        <f>SUM(BR16,BT16)</f>
        <v>276.02299999999997</v>
      </c>
      <c r="BR16" s="157">
        <f t="shared" ref="BR16:BR36" si="16">BB16+BJ16</f>
        <v>244.82299999999998</v>
      </c>
      <c r="BS16" s="158">
        <f t="shared" ref="BS16:BS36" si="17">BC16+BK16</f>
        <v>110.648</v>
      </c>
      <c r="BT16" s="159">
        <f t="shared" ref="BT16:BT18" si="18">BD16+BL16</f>
        <v>31.2</v>
      </c>
      <c r="BU16" s="156">
        <f>SUM(BV16,BX16)</f>
        <v>0</v>
      </c>
      <c r="BV16" s="157">
        <f t="shared" ref="BV16:BV27" si="19">BF16+BN16</f>
        <v>0</v>
      </c>
      <c r="BW16" s="158">
        <f t="shared" ref="BW16:BW36" si="20">BG16+BO16</f>
        <v>0</v>
      </c>
      <c r="BX16" s="159">
        <f t="shared" ref="BX16:BX24" si="21">BH16+BP16</f>
        <v>0</v>
      </c>
      <c r="BY16" s="156">
        <f>SUM(CB16,BZ16)</f>
        <v>0</v>
      </c>
      <c r="BZ16" s="157"/>
      <c r="CA16" s="158">
        <v>-0.35499999999999998</v>
      </c>
      <c r="CB16" s="159"/>
      <c r="CC16" s="156">
        <f>SUM(CF16,CD16)</f>
        <v>0</v>
      </c>
      <c r="CD16" s="157"/>
      <c r="CE16" s="158"/>
      <c r="CF16" s="159"/>
      <c r="CG16" s="156">
        <f>SUM(CH16,CJ16)</f>
        <v>276.02299999999997</v>
      </c>
      <c r="CH16" s="157">
        <f t="shared" ref="CH16:CH36" si="22">BR16+BZ16</f>
        <v>244.82299999999998</v>
      </c>
      <c r="CI16" s="158">
        <f t="shared" ref="CI16:CI36" si="23">BS16+CA16</f>
        <v>110.29299999999999</v>
      </c>
      <c r="CJ16" s="159">
        <f t="shared" ref="CJ16:CJ18" si="24">BT16+CB16</f>
        <v>31.2</v>
      </c>
      <c r="CK16" s="156">
        <f>SUM(CL16,CN16)</f>
        <v>0</v>
      </c>
      <c r="CL16" s="157">
        <f t="shared" ref="CL16:CL27" si="25">BV16+CD16</f>
        <v>0</v>
      </c>
      <c r="CM16" s="158">
        <f t="shared" ref="CM16:CM36" si="26">BW16+CE16</f>
        <v>0</v>
      </c>
      <c r="CN16" s="159">
        <f t="shared" ref="CN16:CN24" si="27">BX16+CF16</f>
        <v>0</v>
      </c>
      <c r="CO16" s="156">
        <f>SUM(CR16,CP16)</f>
        <v>0</v>
      </c>
      <c r="CP16" s="157"/>
      <c r="CQ16" s="158"/>
      <c r="CR16" s="159"/>
      <c r="CS16" s="156">
        <f>SUM(CV16,CT16)</f>
        <v>0</v>
      </c>
      <c r="CT16" s="157"/>
      <c r="CU16" s="158"/>
      <c r="CV16" s="159"/>
      <c r="CW16" s="156">
        <f>SUM(CX16,CZ16)</f>
        <v>276.02299999999997</v>
      </c>
      <c r="CX16" s="157">
        <f t="shared" ref="CX16:CX36" si="28">CH16+CP16</f>
        <v>244.82299999999998</v>
      </c>
      <c r="CY16" s="158">
        <f t="shared" ref="CY16:CY36" si="29">CI16+CQ16</f>
        <v>110.29299999999999</v>
      </c>
      <c r="CZ16" s="159">
        <f t="shared" ref="CZ16:CZ18" si="30">CJ16+CR16</f>
        <v>31.2</v>
      </c>
      <c r="DA16" s="156">
        <f>SUM(DB16,DD16)</f>
        <v>0</v>
      </c>
      <c r="DB16" s="157">
        <f t="shared" ref="DB16:DB27" si="31">CL16+CT16</f>
        <v>0</v>
      </c>
      <c r="DC16" s="158">
        <f t="shared" ref="DC16:DC36" si="32">CM16+CU16</f>
        <v>0</v>
      </c>
      <c r="DD16" s="159">
        <f t="shared" ref="DD16:DD24" si="33">CN16+CV16</f>
        <v>0</v>
      </c>
      <c r="DE16" s="156">
        <f>SUM(DH16,DF16)</f>
        <v>0</v>
      </c>
      <c r="DF16" s="157"/>
      <c r="DG16" s="158"/>
      <c r="DH16" s="159"/>
      <c r="DI16" s="156">
        <f>SUM(DL16,DJ16)</f>
        <v>0</v>
      </c>
      <c r="DJ16" s="157"/>
      <c r="DK16" s="158"/>
      <c r="DL16" s="159"/>
      <c r="DM16" s="156">
        <f>SUM(DN16,DP16)</f>
        <v>276.02299999999997</v>
      </c>
      <c r="DN16" s="157">
        <f t="shared" ref="DN16:DN36" si="34">CX16+DF16</f>
        <v>244.82299999999998</v>
      </c>
      <c r="DO16" s="158">
        <f t="shared" ref="DO16:DO36" si="35">CY16+DG16</f>
        <v>110.29299999999999</v>
      </c>
      <c r="DP16" s="159">
        <f t="shared" ref="DP16:DP18" si="36">CZ16+DH16</f>
        <v>31.2</v>
      </c>
      <c r="DQ16" s="156">
        <f>SUM(DR16,DT16)</f>
        <v>0</v>
      </c>
      <c r="DR16" s="157">
        <f t="shared" ref="DR16:DR27" si="37">DB16+DJ16</f>
        <v>0</v>
      </c>
      <c r="DS16" s="158">
        <f t="shared" ref="DS16:DS36" si="38">DC16+DK16</f>
        <v>0</v>
      </c>
      <c r="DT16" s="159">
        <f t="shared" ref="DT16:DT24" si="39">DD16+DL16</f>
        <v>0</v>
      </c>
      <c r="DU16" s="156">
        <f>SUM(DX16,DV16)</f>
        <v>0</v>
      </c>
      <c r="DV16" s="157"/>
      <c r="DW16" s="158"/>
      <c r="DX16" s="159"/>
      <c r="DY16" s="156">
        <f>SUM(EB16,DZ16)</f>
        <v>0</v>
      </c>
      <c r="DZ16" s="157"/>
      <c r="EA16" s="158"/>
      <c r="EB16" s="159"/>
      <c r="EC16" s="156">
        <f>SUM(ED16,EF16)</f>
        <v>276.02299999999997</v>
      </c>
      <c r="ED16" s="157">
        <f t="shared" ref="ED16:ED21" si="40">DN16+DV16</f>
        <v>244.82299999999998</v>
      </c>
      <c r="EE16" s="158">
        <f t="shared" ref="EE16:EE36" si="41">DO16+DW16</f>
        <v>110.29299999999999</v>
      </c>
      <c r="EF16" s="159">
        <f t="shared" ref="EF16:EF18" si="42">DP16+DX16</f>
        <v>31.2</v>
      </c>
      <c r="EG16" s="156">
        <f>SUM(EH16,EJ16)</f>
        <v>0</v>
      </c>
      <c r="EH16" s="157">
        <f t="shared" ref="EH16:EH27" si="43">DR16+DZ16</f>
        <v>0</v>
      </c>
      <c r="EI16" s="158">
        <f t="shared" ref="EI16:EI36" si="44">DS16+EA16</f>
        <v>0</v>
      </c>
      <c r="EJ16" s="159">
        <f t="shared" ref="EJ16:EJ24" si="45">DT16+EB16</f>
        <v>0</v>
      </c>
      <c r="EK16" s="214">
        <f t="shared" si="0"/>
        <v>-15.539999999999964</v>
      </c>
      <c r="EL16" s="160">
        <f t="shared" si="1"/>
        <v>9.8370000000000459</v>
      </c>
      <c r="EM16" s="156">
        <f t="shared" ref="EM16:EM17" si="46">SUM(EP16,EN16)</f>
        <v>285.86</v>
      </c>
      <c r="EN16" s="157">
        <f>99.5+161.5+9.86</f>
        <v>270.86</v>
      </c>
      <c r="EO16" s="158">
        <f>80.4+13.75</f>
        <v>94.15</v>
      </c>
      <c r="EP16" s="159">
        <f>41-26</f>
        <v>15</v>
      </c>
      <c r="EQ16" s="156">
        <f>SUM(ET16,ER16)</f>
        <v>0</v>
      </c>
      <c r="ER16" s="157"/>
      <c r="ES16" s="158"/>
      <c r="ET16" s="159"/>
    </row>
    <row r="17" spans="1:150" s="4" customFormat="1" ht="21" customHeight="1" x14ac:dyDescent="0.35">
      <c r="A17" s="41"/>
      <c r="B17" s="112" t="s">
        <v>207</v>
      </c>
      <c r="C17" s="110"/>
      <c r="D17" s="111"/>
      <c r="E17" s="156"/>
      <c r="F17" s="157"/>
      <c r="G17" s="158"/>
      <c r="H17" s="159"/>
      <c r="I17" s="156"/>
      <c r="J17" s="157"/>
      <c r="K17" s="158"/>
      <c r="L17" s="159"/>
      <c r="M17" s="156"/>
      <c r="N17" s="157"/>
      <c r="O17" s="158"/>
      <c r="P17" s="159"/>
      <c r="Q17" s="156"/>
      <c r="R17" s="157"/>
      <c r="S17" s="158"/>
      <c r="T17" s="159"/>
      <c r="U17" s="156"/>
      <c r="V17" s="157"/>
      <c r="W17" s="158"/>
      <c r="X17" s="159"/>
      <c r="Y17" s="105"/>
      <c r="Z17" s="106"/>
      <c r="AA17" s="107"/>
      <c r="AB17" s="108"/>
      <c r="AC17" s="156"/>
      <c r="AD17" s="157"/>
      <c r="AE17" s="158"/>
      <c r="AF17" s="159"/>
      <c r="AG17" s="156"/>
      <c r="AH17" s="157"/>
      <c r="AI17" s="158"/>
      <c r="AJ17" s="159"/>
      <c r="AK17" s="156"/>
      <c r="AL17" s="157"/>
      <c r="AM17" s="158"/>
      <c r="AN17" s="159"/>
      <c r="AO17" s="105"/>
      <c r="AP17" s="106"/>
      <c r="AQ17" s="107"/>
      <c r="AR17" s="108"/>
      <c r="AS17" s="156"/>
      <c r="AT17" s="157"/>
      <c r="AU17" s="158"/>
      <c r="AV17" s="159"/>
      <c r="AW17" s="156"/>
      <c r="AX17" s="157"/>
      <c r="AY17" s="158"/>
      <c r="AZ17" s="159"/>
      <c r="BA17" s="156"/>
      <c r="BB17" s="157"/>
      <c r="BC17" s="158"/>
      <c r="BD17" s="159"/>
      <c r="BE17" s="105"/>
      <c r="BF17" s="106"/>
      <c r="BG17" s="107"/>
      <c r="BH17" s="108"/>
      <c r="BI17" s="156">
        <f>SUM(BL17,BJ17)</f>
        <v>52.120000000000005</v>
      </c>
      <c r="BJ17" s="157">
        <f>BN17+38.52</f>
        <v>50.465000000000003</v>
      </c>
      <c r="BK17" s="158">
        <f>BO17+35.955</f>
        <v>45.954999999999998</v>
      </c>
      <c r="BL17" s="159">
        <f>BP17</f>
        <v>1.655</v>
      </c>
      <c r="BM17" s="156">
        <f>SUM(BP17,BN17)</f>
        <v>13.6</v>
      </c>
      <c r="BN17" s="157">
        <v>11.945</v>
      </c>
      <c r="BO17" s="158">
        <v>10</v>
      </c>
      <c r="BP17" s="159">
        <v>1.655</v>
      </c>
      <c r="BQ17" s="156">
        <f>SUM(BR17,BT17)</f>
        <v>52.120000000000005</v>
      </c>
      <c r="BR17" s="157">
        <f t="shared" ref="BR17" si="47">BB17+BJ17</f>
        <v>50.465000000000003</v>
      </c>
      <c r="BS17" s="158">
        <f t="shared" ref="BS17" si="48">BC17+BK17</f>
        <v>45.954999999999998</v>
      </c>
      <c r="BT17" s="159">
        <f t="shared" ref="BT17" si="49">BD17+BL17</f>
        <v>1.655</v>
      </c>
      <c r="BU17" s="156">
        <f>SUM(BV17,BX17)</f>
        <v>13.6</v>
      </c>
      <c r="BV17" s="157">
        <f t="shared" ref="BV17" si="50">BF17+BN17</f>
        <v>11.945</v>
      </c>
      <c r="BW17" s="158">
        <f t="shared" ref="BW17" si="51">BG17+BO17</f>
        <v>10</v>
      </c>
      <c r="BX17" s="159">
        <f t="shared" ref="BX17" si="52">BH17+BP17</f>
        <v>1.655</v>
      </c>
      <c r="BY17" s="156">
        <f>SUM(CB17,BZ17)</f>
        <v>0</v>
      </c>
      <c r="BZ17" s="157"/>
      <c r="CA17" s="158"/>
      <c r="CB17" s="159">
        <f>CF17</f>
        <v>0</v>
      </c>
      <c r="CC17" s="156">
        <f>SUM(CF17,CD17)</f>
        <v>0</v>
      </c>
      <c r="CD17" s="157"/>
      <c r="CE17" s="158"/>
      <c r="CF17" s="159"/>
      <c r="CG17" s="156">
        <f>SUM(CH17,CJ17)</f>
        <v>52.120000000000005</v>
      </c>
      <c r="CH17" s="157">
        <f t="shared" si="22"/>
        <v>50.465000000000003</v>
      </c>
      <c r="CI17" s="158">
        <f t="shared" si="23"/>
        <v>45.954999999999998</v>
      </c>
      <c r="CJ17" s="159">
        <f t="shared" si="24"/>
        <v>1.655</v>
      </c>
      <c r="CK17" s="156">
        <f>SUM(CL17,CN17)</f>
        <v>13.6</v>
      </c>
      <c r="CL17" s="157">
        <f t="shared" si="25"/>
        <v>11.945</v>
      </c>
      <c r="CM17" s="158">
        <f t="shared" si="26"/>
        <v>10</v>
      </c>
      <c r="CN17" s="159">
        <f t="shared" si="27"/>
        <v>1.655</v>
      </c>
      <c r="CO17" s="156">
        <f>SUM(CR17,CP17)</f>
        <v>0</v>
      </c>
      <c r="CP17" s="157"/>
      <c r="CQ17" s="158"/>
      <c r="CR17" s="159"/>
      <c r="CS17" s="156">
        <f>SUM(CV17,CT17)</f>
        <v>0</v>
      </c>
      <c r="CT17" s="157"/>
      <c r="CU17" s="158"/>
      <c r="CV17" s="159"/>
      <c r="CW17" s="156">
        <f>SUM(CX17,CZ17)</f>
        <v>52.120000000000005</v>
      </c>
      <c r="CX17" s="157">
        <f t="shared" si="28"/>
        <v>50.465000000000003</v>
      </c>
      <c r="CY17" s="158">
        <f t="shared" si="29"/>
        <v>45.954999999999998</v>
      </c>
      <c r="CZ17" s="159">
        <f t="shared" si="30"/>
        <v>1.655</v>
      </c>
      <c r="DA17" s="156">
        <f>SUM(DB17,DD17)</f>
        <v>13.6</v>
      </c>
      <c r="DB17" s="157">
        <f t="shared" si="31"/>
        <v>11.945</v>
      </c>
      <c r="DC17" s="158">
        <f t="shared" si="32"/>
        <v>10</v>
      </c>
      <c r="DD17" s="159">
        <f t="shared" si="33"/>
        <v>1.655</v>
      </c>
      <c r="DE17" s="156">
        <f>SUM(DH17,DF17)</f>
        <v>0</v>
      </c>
      <c r="DF17" s="157"/>
      <c r="DG17" s="158"/>
      <c r="DH17" s="159"/>
      <c r="DI17" s="156">
        <f>SUM(DL17,DJ17)</f>
        <v>0</v>
      </c>
      <c r="DJ17" s="157"/>
      <c r="DK17" s="158"/>
      <c r="DL17" s="159"/>
      <c r="DM17" s="156">
        <f>SUM(DN17,DP17)</f>
        <v>52.120000000000005</v>
      </c>
      <c r="DN17" s="157">
        <f t="shared" si="34"/>
        <v>50.465000000000003</v>
      </c>
      <c r="DO17" s="158">
        <f t="shared" si="35"/>
        <v>45.954999999999998</v>
      </c>
      <c r="DP17" s="159">
        <f t="shared" si="36"/>
        <v>1.655</v>
      </c>
      <c r="DQ17" s="156">
        <f>SUM(DR17,DT17)</f>
        <v>13.6</v>
      </c>
      <c r="DR17" s="157">
        <f t="shared" si="37"/>
        <v>11.945</v>
      </c>
      <c r="DS17" s="158">
        <f t="shared" si="38"/>
        <v>10</v>
      </c>
      <c r="DT17" s="159">
        <f t="shared" si="39"/>
        <v>1.655</v>
      </c>
      <c r="DU17" s="156">
        <f>SUM(DX17,DV17)</f>
        <v>-16.366999999999997</v>
      </c>
      <c r="DV17" s="157">
        <f>-7.824-8.543</f>
        <v>-16.366999999999997</v>
      </c>
      <c r="DW17" s="158">
        <f>-7.712-8.421</f>
        <v>-16.132999999999999</v>
      </c>
      <c r="DX17" s="159"/>
      <c r="DY17" s="156">
        <f>SUM(EB17,DZ17)</f>
        <v>0</v>
      </c>
      <c r="DZ17" s="157"/>
      <c r="EA17" s="158"/>
      <c r="EB17" s="159"/>
      <c r="EC17" s="156">
        <f>SUM(ED17,EF17)</f>
        <v>35.753000000000007</v>
      </c>
      <c r="ED17" s="157">
        <f t="shared" si="40"/>
        <v>34.098000000000006</v>
      </c>
      <c r="EE17" s="158">
        <f t="shared" si="41"/>
        <v>29.821999999999999</v>
      </c>
      <c r="EF17" s="159">
        <f t="shared" si="42"/>
        <v>1.655</v>
      </c>
      <c r="EG17" s="156">
        <f>SUM(EH17,EJ17)</f>
        <v>13.6</v>
      </c>
      <c r="EH17" s="157">
        <f t="shared" si="43"/>
        <v>11.945</v>
      </c>
      <c r="EI17" s="158">
        <f t="shared" si="44"/>
        <v>10</v>
      </c>
      <c r="EJ17" s="159">
        <f t="shared" si="45"/>
        <v>1.655</v>
      </c>
      <c r="EK17" s="160">
        <f t="shared" si="0"/>
        <v>130.07999999999998</v>
      </c>
      <c r="EL17" s="160">
        <f t="shared" si="1"/>
        <v>94.32699999999997</v>
      </c>
      <c r="EM17" s="156">
        <f t="shared" si="46"/>
        <v>130.07999999999998</v>
      </c>
      <c r="EN17" s="157">
        <v>126.08</v>
      </c>
      <c r="EO17" s="158">
        <f>112.2-0.15</f>
        <v>112.05</v>
      </c>
      <c r="EP17" s="159">
        <v>4</v>
      </c>
      <c r="EQ17" s="156"/>
      <c r="ER17" s="157"/>
      <c r="ES17" s="158"/>
      <c r="ET17" s="159"/>
    </row>
    <row r="18" spans="1:150" s="4" customFormat="1" ht="30.75" customHeight="1" x14ac:dyDescent="0.35">
      <c r="A18" s="41"/>
      <c r="B18" s="113" t="s">
        <v>202</v>
      </c>
      <c r="C18" s="110"/>
      <c r="D18" s="111"/>
      <c r="E18" s="156">
        <f>SUM(H18,F18)</f>
        <v>226.5</v>
      </c>
      <c r="F18" s="157">
        <v>25</v>
      </c>
      <c r="G18" s="158"/>
      <c r="H18" s="159">
        <v>201.5</v>
      </c>
      <c r="I18" s="156">
        <f>SUM(L18,J18)</f>
        <v>0</v>
      </c>
      <c r="J18" s="157"/>
      <c r="K18" s="158"/>
      <c r="L18" s="159"/>
      <c r="M18" s="156">
        <f>SUM(P18,N18)</f>
        <v>0</v>
      </c>
      <c r="N18" s="157"/>
      <c r="O18" s="158"/>
      <c r="P18" s="159"/>
      <c r="Q18" s="156">
        <f>SUM(T18,R18)</f>
        <v>0</v>
      </c>
      <c r="R18" s="157"/>
      <c r="S18" s="158"/>
      <c r="T18" s="159"/>
      <c r="U18" s="156">
        <f>SUM(V18,X18)</f>
        <v>226.5</v>
      </c>
      <c r="V18" s="157">
        <f t="shared" si="2"/>
        <v>25</v>
      </c>
      <c r="W18" s="158">
        <f t="shared" si="2"/>
        <v>0</v>
      </c>
      <c r="X18" s="159">
        <f t="shared" si="2"/>
        <v>201.5</v>
      </c>
      <c r="Y18" s="105">
        <f>SUM(Z18,AB18)</f>
        <v>0</v>
      </c>
      <c r="Z18" s="106">
        <f t="shared" si="3"/>
        <v>0</v>
      </c>
      <c r="AA18" s="107">
        <f t="shared" si="3"/>
        <v>0</v>
      </c>
      <c r="AB18" s="108">
        <f t="shared" si="3"/>
        <v>0</v>
      </c>
      <c r="AC18" s="156">
        <f>SUM(AF18,AD18)</f>
        <v>0</v>
      </c>
      <c r="AD18" s="157"/>
      <c r="AE18" s="158"/>
      <c r="AF18" s="159"/>
      <c r="AG18" s="156">
        <f>SUM(AJ18,AH18)</f>
        <v>0</v>
      </c>
      <c r="AH18" s="157"/>
      <c r="AI18" s="158"/>
      <c r="AJ18" s="159"/>
      <c r="AK18" s="156">
        <f>SUM(AL18,AN18)</f>
        <v>226.5</v>
      </c>
      <c r="AL18" s="157">
        <f t="shared" si="4"/>
        <v>25</v>
      </c>
      <c r="AM18" s="158">
        <f t="shared" si="5"/>
        <v>0</v>
      </c>
      <c r="AN18" s="159">
        <f t="shared" si="6"/>
        <v>201.5</v>
      </c>
      <c r="AO18" s="105">
        <f>SUM(AP18,AR18)</f>
        <v>0</v>
      </c>
      <c r="AP18" s="106">
        <f t="shared" si="7"/>
        <v>0</v>
      </c>
      <c r="AQ18" s="107">
        <f t="shared" si="8"/>
        <v>0</v>
      </c>
      <c r="AR18" s="108">
        <f t="shared" si="9"/>
        <v>0</v>
      </c>
      <c r="AS18" s="156">
        <f>SUM(AV18,AT18)</f>
        <v>0</v>
      </c>
      <c r="AT18" s="157"/>
      <c r="AU18" s="158"/>
      <c r="AV18" s="159"/>
      <c r="AW18" s="156">
        <f>SUM(AZ18,AX18)</f>
        <v>0</v>
      </c>
      <c r="AX18" s="157"/>
      <c r="AY18" s="158"/>
      <c r="AZ18" s="159"/>
      <c r="BA18" s="156">
        <f>SUM(BB18,BD18)</f>
        <v>226.5</v>
      </c>
      <c r="BB18" s="157">
        <f t="shared" si="10"/>
        <v>25</v>
      </c>
      <c r="BC18" s="158">
        <f t="shared" si="11"/>
        <v>0</v>
      </c>
      <c r="BD18" s="159">
        <f t="shared" si="12"/>
        <v>201.5</v>
      </c>
      <c r="BE18" s="105">
        <f>SUM(BF18,BH18)</f>
        <v>0</v>
      </c>
      <c r="BF18" s="106">
        <f t="shared" si="13"/>
        <v>0</v>
      </c>
      <c r="BG18" s="107">
        <f t="shared" si="14"/>
        <v>0</v>
      </c>
      <c r="BH18" s="108">
        <f t="shared" si="15"/>
        <v>0</v>
      </c>
      <c r="BI18" s="156">
        <f>SUM(BL18,BJ18)</f>
        <v>0</v>
      </c>
      <c r="BJ18" s="157"/>
      <c r="BK18" s="158"/>
      <c r="BL18" s="159"/>
      <c r="BM18" s="156">
        <f>SUM(BP18,BN18)</f>
        <v>0</v>
      </c>
      <c r="BN18" s="157"/>
      <c r="BO18" s="158"/>
      <c r="BP18" s="159"/>
      <c r="BQ18" s="156">
        <f>SUM(BR18,BT18)</f>
        <v>226.5</v>
      </c>
      <c r="BR18" s="157">
        <f t="shared" si="16"/>
        <v>25</v>
      </c>
      <c r="BS18" s="158">
        <f t="shared" si="17"/>
        <v>0</v>
      </c>
      <c r="BT18" s="159">
        <f t="shared" si="18"/>
        <v>201.5</v>
      </c>
      <c r="BU18" s="156">
        <f>SUM(BV18,BX18)</f>
        <v>0</v>
      </c>
      <c r="BV18" s="157">
        <f t="shared" si="19"/>
        <v>0</v>
      </c>
      <c r="BW18" s="158">
        <f t="shared" si="20"/>
        <v>0</v>
      </c>
      <c r="BX18" s="159">
        <f t="shared" si="21"/>
        <v>0</v>
      </c>
      <c r="BY18" s="156">
        <f>SUM(CB18,BZ18)</f>
        <v>0</v>
      </c>
      <c r="BZ18" s="157"/>
      <c r="CA18" s="158"/>
      <c r="CB18" s="159"/>
      <c r="CC18" s="156">
        <f>SUM(CF18,CD18)</f>
        <v>0</v>
      </c>
      <c r="CD18" s="157"/>
      <c r="CE18" s="158"/>
      <c r="CF18" s="159"/>
      <c r="CG18" s="156">
        <f>SUM(CH18,CJ18)</f>
        <v>226.5</v>
      </c>
      <c r="CH18" s="157">
        <f t="shared" si="22"/>
        <v>25</v>
      </c>
      <c r="CI18" s="158">
        <f t="shared" si="23"/>
        <v>0</v>
      </c>
      <c r="CJ18" s="159">
        <f t="shared" si="24"/>
        <v>201.5</v>
      </c>
      <c r="CK18" s="156">
        <f>SUM(CL18,CN18)</f>
        <v>0</v>
      </c>
      <c r="CL18" s="157">
        <f t="shared" si="25"/>
        <v>0</v>
      </c>
      <c r="CM18" s="158">
        <f t="shared" si="26"/>
        <v>0</v>
      </c>
      <c r="CN18" s="159">
        <f t="shared" si="27"/>
        <v>0</v>
      </c>
      <c r="CO18" s="156">
        <f>SUM(CR18,CP18)</f>
        <v>0</v>
      </c>
      <c r="CP18" s="157"/>
      <c r="CQ18" s="158"/>
      <c r="CR18" s="159"/>
      <c r="CS18" s="156">
        <f>SUM(CV18,CT18)</f>
        <v>0</v>
      </c>
      <c r="CT18" s="157"/>
      <c r="CU18" s="158"/>
      <c r="CV18" s="159"/>
      <c r="CW18" s="156">
        <f>SUM(CX18,CZ18)</f>
        <v>226.5</v>
      </c>
      <c r="CX18" s="157">
        <f t="shared" si="28"/>
        <v>25</v>
      </c>
      <c r="CY18" s="158">
        <f t="shared" si="29"/>
        <v>0</v>
      </c>
      <c r="CZ18" s="159">
        <f t="shared" si="30"/>
        <v>201.5</v>
      </c>
      <c r="DA18" s="156">
        <f>SUM(DB18,DD18)</f>
        <v>0</v>
      </c>
      <c r="DB18" s="157">
        <f t="shared" si="31"/>
        <v>0</v>
      </c>
      <c r="DC18" s="158">
        <f t="shared" si="32"/>
        <v>0</v>
      </c>
      <c r="DD18" s="159">
        <f t="shared" si="33"/>
        <v>0</v>
      </c>
      <c r="DE18" s="156">
        <f>SUM(DH18,DF18)</f>
        <v>-0.7</v>
      </c>
      <c r="DF18" s="157">
        <v>-0.7</v>
      </c>
      <c r="DG18" s="158"/>
      <c r="DH18" s="159"/>
      <c r="DI18" s="156">
        <f>SUM(DL18,DJ18)</f>
        <v>0</v>
      </c>
      <c r="DJ18" s="157"/>
      <c r="DK18" s="158"/>
      <c r="DL18" s="159"/>
      <c r="DM18" s="156">
        <f>SUM(DN18,DP18)</f>
        <v>225.8</v>
      </c>
      <c r="DN18" s="157">
        <f t="shared" si="34"/>
        <v>24.3</v>
      </c>
      <c r="DO18" s="158">
        <f t="shared" si="35"/>
        <v>0</v>
      </c>
      <c r="DP18" s="159">
        <f t="shared" si="36"/>
        <v>201.5</v>
      </c>
      <c r="DQ18" s="156">
        <f>SUM(DR18,DT18)</f>
        <v>0</v>
      </c>
      <c r="DR18" s="157">
        <f t="shared" si="37"/>
        <v>0</v>
      </c>
      <c r="DS18" s="158">
        <f t="shared" si="38"/>
        <v>0</v>
      </c>
      <c r="DT18" s="159">
        <f t="shared" si="39"/>
        <v>0</v>
      </c>
      <c r="DU18" s="156">
        <f>SUM(DX18,DV18)</f>
        <v>-1.02</v>
      </c>
      <c r="DV18" s="157">
        <v>-1.02</v>
      </c>
      <c r="DW18" s="158"/>
      <c r="DX18" s="159"/>
      <c r="DY18" s="156">
        <f>SUM(EB18,DZ18)</f>
        <v>0</v>
      </c>
      <c r="DZ18" s="157"/>
      <c r="EA18" s="158"/>
      <c r="EB18" s="159"/>
      <c r="EC18" s="156">
        <f>SUM(ED18,EF18)</f>
        <v>224.78</v>
      </c>
      <c r="ED18" s="157">
        <f t="shared" si="40"/>
        <v>23.28</v>
      </c>
      <c r="EE18" s="158">
        <f t="shared" si="41"/>
        <v>0</v>
      </c>
      <c r="EF18" s="159">
        <f t="shared" si="42"/>
        <v>201.5</v>
      </c>
      <c r="EG18" s="156">
        <f>SUM(EH18,EJ18)</f>
        <v>0</v>
      </c>
      <c r="EH18" s="157">
        <f t="shared" si="43"/>
        <v>0</v>
      </c>
      <c r="EI18" s="158">
        <f t="shared" si="44"/>
        <v>0</v>
      </c>
      <c r="EJ18" s="159">
        <f t="shared" si="45"/>
        <v>0</v>
      </c>
      <c r="EK18" s="160">
        <f t="shared" si="0"/>
        <v>105.69999999999999</v>
      </c>
      <c r="EL18" s="160">
        <f t="shared" si="1"/>
        <v>107.41999999999999</v>
      </c>
      <c r="EM18" s="156">
        <f>SUM(EP18,EN18)</f>
        <v>332.2</v>
      </c>
      <c r="EN18" s="157">
        <v>15.673</v>
      </c>
      <c r="EO18" s="158"/>
      <c r="EP18" s="159">
        <v>316.52699999999999</v>
      </c>
      <c r="EQ18" s="156">
        <f>SUM(ET18,ER18)</f>
        <v>0</v>
      </c>
      <c r="ER18" s="157"/>
      <c r="ES18" s="158"/>
      <c r="ET18" s="159"/>
    </row>
    <row r="19" spans="1:150" s="4" customFormat="1" ht="23.4" customHeight="1" x14ac:dyDescent="0.25">
      <c r="A19" s="704" t="s">
        <v>23</v>
      </c>
      <c r="B19" s="722" t="s">
        <v>35</v>
      </c>
      <c r="C19" s="34" t="s">
        <v>127</v>
      </c>
      <c r="D19" s="139" t="s">
        <v>37</v>
      </c>
      <c r="E19" s="105">
        <f t="shared" ref="E19:E37" si="53">SUM(F19,H19)</f>
        <v>2515.6429999999991</v>
      </c>
      <c r="F19" s="106">
        <f>J19+F18+F16+1726.42+2+51+35.2+30+2+2.4+5+17.2+13.9+7.22</f>
        <v>2201.3429999999994</v>
      </c>
      <c r="G19" s="107">
        <f>G18+G16+1279.99+27.13+6.65+5.1+124.3-9.7</f>
        <v>1568.67</v>
      </c>
      <c r="H19" s="108">
        <f>H18+H16+1.6+18+62</f>
        <v>314.29999999999995</v>
      </c>
      <c r="I19" s="105">
        <f t="shared" ref="I19:I33" si="54">SUM(J19,L19)</f>
        <v>13.803000000000001</v>
      </c>
      <c r="J19" s="106">
        <f>6.054+7.749</f>
        <v>13.803000000000001</v>
      </c>
      <c r="K19" s="107"/>
      <c r="L19" s="108"/>
      <c r="M19" s="105">
        <f t="shared" ref="M19:M21" si="55">SUM(N19,P19)</f>
        <v>0</v>
      </c>
      <c r="N19" s="106"/>
      <c r="O19" s="107"/>
      <c r="P19" s="108"/>
      <c r="Q19" s="105">
        <f t="shared" ref="Q19:Q33" si="56">SUM(R19,T19)</f>
        <v>0</v>
      </c>
      <c r="R19" s="106"/>
      <c r="S19" s="107"/>
      <c r="T19" s="108"/>
      <c r="U19" s="105">
        <f>SUM(V19,X19)</f>
        <v>2515.6429999999991</v>
      </c>
      <c r="V19" s="106">
        <f t="shared" si="2"/>
        <v>2201.3429999999994</v>
      </c>
      <c r="W19" s="107">
        <f t="shared" si="2"/>
        <v>1568.67</v>
      </c>
      <c r="X19" s="108">
        <f t="shared" si="2"/>
        <v>314.29999999999995</v>
      </c>
      <c r="Y19" s="105">
        <f>SUM(Z19,AB19)</f>
        <v>13.803000000000001</v>
      </c>
      <c r="Z19" s="106">
        <f t="shared" si="3"/>
        <v>13.803000000000001</v>
      </c>
      <c r="AA19" s="107">
        <f t="shared" si="3"/>
        <v>0</v>
      </c>
      <c r="AB19" s="108">
        <f t="shared" si="3"/>
        <v>0</v>
      </c>
      <c r="AC19" s="105">
        <f t="shared" ref="AC19:AC21" si="57">SUM(AD19,AF19)</f>
        <v>0</v>
      </c>
      <c r="AD19" s="106">
        <v>15</v>
      </c>
      <c r="AE19" s="107"/>
      <c r="AF19" s="108">
        <v>-15</v>
      </c>
      <c r="AG19" s="105">
        <f t="shared" ref="AG19:AG33" si="58">SUM(AH19,AJ19)</f>
        <v>0</v>
      </c>
      <c r="AH19" s="106"/>
      <c r="AI19" s="107"/>
      <c r="AJ19" s="108"/>
      <c r="AK19" s="105">
        <f>SUM(AL19,AN19)</f>
        <v>2515.6429999999991</v>
      </c>
      <c r="AL19" s="106">
        <f t="shared" si="4"/>
        <v>2216.3429999999994</v>
      </c>
      <c r="AM19" s="107">
        <f t="shared" si="5"/>
        <v>1568.67</v>
      </c>
      <c r="AN19" s="108">
        <f t="shared" si="6"/>
        <v>299.29999999999995</v>
      </c>
      <c r="AO19" s="105">
        <f>SUM(AP19,AR19)</f>
        <v>13.803000000000001</v>
      </c>
      <c r="AP19" s="106">
        <f t="shared" si="7"/>
        <v>13.803000000000001</v>
      </c>
      <c r="AQ19" s="107">
        <f t="shared" si="8"/>
        <v>0</v>
      </c>
      <c r="AR19" s="108">
        <f t="shared" si="9"/>
        <v>0</v>
      </c>
      <c r="AS19" s="105">
        <f t="shared" ref="AS19:AS21" si="59">SUM(AT19,AV19)</f>
        <v>0</v>
      </c>
      <c r="AT19" s="106">
        <v>3.0329999999999999</v>
      </c>
      <c r="AU19" s="107">
        <v>-1.585</v>
      </c>
      <c r="AV19" s="108">
        <v>-3.0329999999999999</v>
      </c>
      <c r="AW19" s="105">
        <f t="shared" ref="AW19:AW33" si="60">SUM(AX19,AZ19)</f>
        <v>0</v>
      </c>
      <c r="AX19" s="106"/>
      <c r="AY19" s="107"/>
      <c r="AZ19" s="108"/>
      <c r="BA19" s="105">
        <f>SUM(BB19,BD19)</f>
        <v>2515.6429999999991</v>
      </c>
      <c r="BB19" s="106">
        <f>AL19+AT19</f>
        <v>2219.3759999999993</v>
      </c>
      <c r="BC19" s="107">
        <f>AM19+AU19</f>
        <v>1567.085</v>
      </c>
      <c r="BD19" s="108">
        <f>AN19+AV19</f>
        <v>296.26699999999994</v>
      </c>
      <c r="BE19" s="105">
        <f>SUM(BF19,BH19)</f>
        <v>13.803000000000001</v>
      </c>
      <c r="BF19" s="106">
        <f t="shared" si="13"/>
        <v>13.803000000000001</v>
      </c>
      <c r="BG19" s="107">
        <f t="shared" si="14"/>
        <v>0</v>
      </c>
      <c r="BH19" s="108">
        <f t="shared" si="15"/>
        <v>0</v>
      </c>
      <c r="BI19" s="105">
        <f t="shared" ref="BI19:BI21" si="61">SUM(BJ19,BL19)</f>
        <v>13.6</v>
      </c>
      <c r="BJ19" s="106">
        <v>11.945</v>
      </c>
      <c r="BK19" s="107">
        <f>BO19</f>
        <v>10</v>
      </c>
      <c r="BL19" s="108">
        <v>1.655</v>
      </c>
      <c r="BM19" s="105">
        <f t="shared" ref="BM19:BM33" si="62">SUM(BN19,BP19)</f>
        <v>13.6</v>
      </c>
      <c r="BN19" s="106">
        <v>11.945</v>
      </c>
      <c r="BO19" s="107">
        <v>10</v>
      </c>
      <c r="BP19" s="108">
        <v>1.655</v>
      </c>
      <c r="BQ19" s="105">
        <f>SUM(BR19,BT19)</f>
        <v>2529.2429999999995</v>
      </c>
      <c r="BR19" s="106">
        <f t="shared" si="16"/>
        <v>2231.3209999999995</v>
      </c>
      <c r="BS19" s="107">
        <f t="shared" si="17"/>
        <v>1577.085</v>
      </c>
      <c r="BT19" s="108">
        <f>BD19+BL19</f>
        <v>297.92199999999991</v>
      </c>
      <c r="BU19" s="105">
        <f>SUM(BV19,BX19)</f>
        <v>27.403000000000002</v>
      </c>
      <c r="BV19" s="106">
        <f t="shared" si="19"/>
        <v>25.748000000000001</v>
      </c>
      <c r="BW19" s="107">
        <f t="shared" si="20"/>
        <v>10</v>
      </c>
      <c r="BX19" s="108">
        <f t="shared" si="21"/>
        <v>1.655</v>
      </c>
      <c r="BY19" s="105">
        <f t="shared" ref="BY19:BY21" si="63">SUM(BZ19,CB19)</f>
        <v>0</v>
      </c>
      <c r="BZ19" s="106"/>
      <c r="CA19" s="107">
        <f>-3.33+CA16</f>
        <v>-3.6850000000000001</v>
      </c>
      <c r="CB19" s="108"/>
      <c r="CC19" s="105">
        <f t="shared" ref="CC19:CC33" si="64">SUM(CD19,CF19)</f>
        <v>0</v>
      </c>
      <c r="CD19" s="106"/>
      <c r="CE19" s="107"/>
      <c r="CF19" s="108"/>
      <c r="CG19" s="105">
        <f>SUM(CH19,CJ19)</f>
        <v>2529.2429999999995</v>
      </c>
      <c r="CH19" s="106">
        <f t="shared" si="22"/>
        <v>2231.3209999999995</v>
      </c>
      <c r="CI19" s="107">
        <f t="shared" si="23"/>
        <v>1573.4</v>
      </c>
      <c r="CJ19" s="108">
        <f>BT19+CB19</f>
        <v>297.92199999999991</v>
      </c>
      <c r="CK19" s="105">
        <f>SUM(CL19,CN19)</f>
        <v>27.403000000000002</v>
      </c>
      <c r="CL19" s="106">
        <f t="shared" si="25"/>
        <v>25.748000000000001</v>
      </c>
      <c r="CM19" s="107">
        <f t="shared" si="26"/>
        <v>10</v>
      </c>
      <c r="CN19" s="108">
        <f t="shared" si="27"/>
        <v>1.655</v>
      </c>
      <c r="CO19" s="105">
        <f t="shared" ref="CO19:CO21" si="65">SUM(CP19,CR19)</f>
        <v>0</v>
      </c>
      <c r="CP19" s="147">
        <v>2</v>
      </c>
      <c r="CQ19" s="161"/>
      <c r="CR19" s="162">
        <v>-2</v>
      </c>
      <c r="CS19" s="105">
        <f t="shared" ref="CS19:CS33" si="66">SUM(CT19,CV19)</f>
        <v>0</v>
      </c>
      <c r="CT19" s="106"/>
      <c r="CU19" s="107"/>
      <c r="CV19" s="108"/>
      <c r="CW19" s="105">
        <f>SUM(CX19,CZ19)</f>
        <v>2529.2429999999995</v>
      </c>
      <c r="CX19" s="106">
        <f t="shared" si="28"/>
        <v>2233.3209999999995</v>
      </c>
      <c r="CY19" s="107">
        <f t="shared" si="29"/>
        <v>1573.4</v>
      </c>
      <c r="CZ19" s="108">
        <f>CJ19+CR19</f>
        <v>295.92199999999991</v>
      </c>
      <c r="DA19" s="105">
        <f>SUM(DB19,DD19)</f>
        <v>27.403000000000002</v>
      </c>
      <c r="DB19" s="106">
        <f t="shared" si="31"/>
        <v>25.748000000000001</v>
      </c>
      <c r="DC19" s="107">
        <f t="shared" si="32"/>
        <v>10</v>
      </c>
      <c r="DD19" s="108">
        <f t="shared" si="33"/>
        <v>1.655</v>
      </c>
      <c r="DE19" s="105">
        <f t="shared" ref="DE19:DE21" si="67">SUM(DF19,DH19)</f>
        <v>-0.7</v>
      </c>
      <c r="DF19" s="147">
        <v>-0.7</v>
      </c>
      <c r="DG19" s="161"/>
      <c r="DH19" s="162"/>
      <c r="DI19" s="105">
        <f t="shared" ref="DI19:DI33" si="68">SUM(DJ19,DL19)</f>
        <v>0</v>
      </c>
      <c r="DJ19" s="106"/>
      <c r="DK19" s="107"/>
      <c r="DL19" s="108"/>
      <c r="DM19" s="105">
        <f>SUM(DN19,DP19)</f>
        <v>2528.5429999999997</v>
      </c>
      <c r="DN19" s="106">
        <f>CX19+DF19</f>
        <v>2232.6209999999996</v>
      </c>
      <c r="DO19" s="107">
        <f t="shared" si="35"/>
        <v>1573.4</v>
      </c>
      <c r="DP19" s="108">
        <f>CZ19+DH19</f>
        <v>295.92199999999991</v>
      </c>
      <c r="DQ19" s="105">
        <f>SUM(DR19,DT19)</f>
        <v>27.403000000000002</v>
      </c>
      <c r="DR19" s="106">
        <f>DB19+DJ19</f>
        <v>25.748000000000001</v>
      </c>
      <c r="DS19" s="107">
        <f t="shared" si="38"/>
        <v>10</v>
      </c>
      <c r="DT19" s="108">
        <f t="shared" si="39"/>
        <v>1.655</v>
      </c>
      <c r="DU19" s="105">
        <f t="shared" ref="DU19:DU21" si="69">SUM(DV19,DX19)</f>
        <v>-4.2439999999999998</v>
      </c>
      <c r="DV19" s="147">
        <f>4.6-1.02-7.824</f>
        <v>-4.2439999999999998</v>
      </c>
      <c r="DW19" s="161">
        <f>4.6-7.26-7.712</f>
        <v>-10.372</v>
      </c>
      <c r="DX19" s="162"/>
      <c r="DY19" s="105">
        <f t="shared" ref="DY19:DY33" si="70">SUM(DZ19,EB19)</f>
        <v>0</v>
      </c>
      <c r="DZ19" s="106"/>
      <c r="EA19" s="107"/>
      <c r="EB19" s="108"/>
      <c r="EC19" s="105">
        <f>SUM(ED19,EF19)</f>
        <v>2524.2989999999995</v>
      </c>
      <c r="ED19" s="106">
        <f t="shared" si="40"/>
        <v>2228.3769999999995</v>
      </c>
      <c r="EE19" s="107">
        <f t="shared" si="41"/>
        <v>1563.028</v>
      </c>
      <c r="EF19" s="108">
        <f>DP19+DX19</f>
        <v>295.92199999999991</v>
      </c>
      <c r="EG19" s="105">
        <f>SUM(EH19,EJ19)</f>
        <v>27.403000000000002</v>
      </c>
      <c r="EH19" s="106">
        <f t="shared" si="43"/>
        <v>25.748000000000001</v>
      </c>
      <c r="EI19" s="107">
        <f t="shared" si="44"/>
        <v>10</v>
      </c>
      <c r="EJ19" s="108">
        <f t="shared" si="45"/>
        <v>1.655</v>
      </c>
      <c r="EK19" s="163">
        <f t="shared" si="0"/>
        <v>566.29900000000089</v>
      </c>
      <c r="EL19" s="163">
        <f t="shared" si="1"/>
        <v>557.64300000000048</v>
      </c>
      <c r="EM19" s="105">
        <f>SUM(EN19,EP19)</f>
        <v>3081.942</v>
      </c>
      <c r="EN19" s="106">
        <f>ER19+EN18+EN17+EN16+1803.63+98+97.46+16.64-0.7</f>
        <v>2507.0650000000001</v>
      </c>
      <c r="EO19" s="107">
        <f>ES19+EO18+EO17+EO16+1376.36+8.55+7.9+133.8-9.3</f>
        <v>1750.6369999999999</v>
      </c>
      <c r="EP19" s="108">
        <f>EP18+EP17+EP16+76+2+187.35-26</f>
        <v>574.87699999999995</v>
      </c>
      <c r="EQ19" s="105">
        <f t="shared" ref="EQ19:EQ33" si="71">SUM(ER19,ET19)</f>
        <v>79.421999999999997</v>
      </c>
      <c r="ER19" s="106">
        <f>37.499+41.923</f>
        <v>79.421999999999997</v>
      </c>
      <c r="ES19" s="107">
        <v>27.126999999999999</v>
      </c>
      <c r="ET19" s="108"/>
    </row>
    <row r="20" spans="1:150" s="4" customFormat="1" ht="23.4" customHeight="1" x14ac:dyDescent="0.25">
      <c r="A20" s="716"/>
      <c r="B20" s="723"/>
      <c r="C20" s="34" t="s">
        <v>128</v>
      </c>
      <c r="D20" s="139" t="s">
        <v>52</v>
      </c>
      <c r="E20" s="105">
        <f t="shared" si="53"/>
        <v>166.62900000000002</v>
      </c>
      <c r="F20" s="106">
        <f>139.05+J20</f>
        <v>166.62900000000002</v>
      </c>
      <c r="G20" s="107"/>
      <c r="H20" s="108"/>
      <c r="I20" s="105">
        <f t="shared" si="54"/>
        <v>27.579000000000001</v>
      </c>
      <c r="J20" s="106">
        <v>27.579000000000001</v>
      </c>
      <c r="K20" s="107"/>
      <c r="L20" s="108"/>
      <c r="M20" s="105">
        <f t="shared" si="55"/>
        <v>0</v>
      </c>
      <c r="N20" s="106"/>
      <c r="O20" s="107"/>
      <c r="P20" s="108"/>
      <c r="Q20" s="105">
        <f t="shared" si="56"/>
        <v>0</v>
      </c>
      <c r="R20" s="106"/>
      <c r="S20" s="107"/>
      <c r="T20" s="108"/>
      <c r="U20" s="105">
        <f t="shared" ref="U20:U36" si="72">SUM(V20,X20)</f>
        <v>166.62900000000002</v>
      </c>
      <c r="V20" s="106">
        <f t="shared" ref="V20:V36" si="73">F20+N20</f>
        <v>166.62900000000002</v>
      </c>
      <c r="W20" s="107">
        <f t="shared" ref="W20:W36" si="74">G20+O20</f>
        <v>0</v>
      </c>
      <c r="X20" s="108">
        <f t="shared" ref="X20:X36" si="75">H20+P20</f>
        <v>0</v>
      </c>
      <c r="Y20" s="105">
        <f t="shared" ref="Y20:Y36" si="76">SUM(Z20,AB20)</f>
        <v>27.579000000000001</v>
      </c>
      <c r="Z20" s="106">
        <f t="shared" ref="Z20:Z36" si="77">J20+R20</f>
        <v>27.579000000000001</v>
      </c>
      <c r="AA20" s="107">
        <f t="shared" ref="AA20:AA36" si="78">K20+S20</f>
        <v>0</v>
      </c>
      <c r="AB20" s="108">
        <f t="shared" ref="AB20:AB36" si="79">L20+T20</f>
        <v>0</v>
      </c>
      <c r="AC20" s="105">
        <f t="shared" si="57"/>
        <v>0</v>
      </c>
      <c r="AD20" s="106"/>
      <c r="AE20" s="107"/>
      <c r="AF20" s="108"/>
      <c r="AG20" s="105">
        <f t="shared" si="58"/>
        <v>0</v>
      </c>
      <c r="AH20" s="106"/>
      <c r="AI20" s="107"/>
      <c r="AJ20" s="108"/>
      <c r="AK20" s="105">
        <f t="shared" ref="AK20:AK37" si="80">SUM(AL20,AN20)</f>
        <v>166.62900000000002</v>
      </c>
      <c r="AL20" s="106">
        <f t="shared" si="4"/>
        <v>166.62900000000002</v>
      </c>
      <c r="AM20" s="107">
        <f t="shared" si="5"/>
        <v>0</v>
      </c>
      <c r="AN20" s="108">
        <f t="shared" si="6"/>
        <v>0</v>
      </c>
      <c r="AO20" s="105">
        <f t="shared" ref="AO20:AO37" si="81">SUM(AP20,AR20)</f>
        <v>27.579000000000001</v>
      </c>
      <c r="AP20" s="106">
        <f t="shared" si="7"/>
        <v>27.579000000000001</v>
      </c>
      <c r="AQ20" s="107">
        <f t="shared" si="8"/>
        <v>0</v>
      </c>
      <c r="AR20" s="108">
        <f t="shared" si="9"/>
        <v>0</v>
      </c>
      <c r="AS20" s="105">
        <f t="shared" si="59"/>
        <v>0</v>
      </c>
      <c r="AT20" s="106"/>
      <c r="AU20" s="107"/>
      <c r="AV20" s="108"/>
      <c r="AW20" s="105">
        <f t="shared" si="60"/>
        <v>0</v>
      </c>
      <c r="AX20" s="106"/>
      <c r="AY20" s="107"/>
      <c r="AZ20" s="108"/>
      <c r="BA20" s="105">
        <f t="shared" ref="BA20:BA37" si="82">SUM(BB20,BD20)</f>
        <v>166.62900000000002</v>
      </c>
      <c r="BB20" s="106">
        <f t="shared" si="10"/>
        <v>166.62900000000002</v>
      </c>
      <c r="BC20" s="107">
        <f t="shared" si="11"/>
        <v>0</v>
      </c>
      <c r="BD20" s="108">
        <f t="shared" si="12"/>
        <v>0</v>
      </c>
      <c r="BE20" s="105">
        <f t="shared" ref="BE20:BE37" si="83">SUM(BF20,BH20)</f>
        <v>27.579000000000001</v>
      </c>
      <c r="BF20" s="106">
        <f t="shared" si="13"/>
        <v>27.579000000000001</v>
      </c>
      <c r="BG20" s="107">
        <f t="shared" si="14"/>
        <v>0</v>
      </c>
      <c r="BH20" s="108">
        <f t="shared" si="15"/>
        <v>0</v>
      </c>
      <c r="BI20" s="105">
        <f t="shared" si="61"/>
        <v>0</v>
      </c>
      <c r="BJ20" s="106"/>
      <c r="BK20" s="107"/>
      <c r="BL20" s="108"/>
      <c r="BM20" s="105">
        <f t="shared" si="62"/>
        <v>0</v>
      </c>
      <c r="BN20" s="106"/>
      <c r="BO20" s="107"/>
      <c r="BP20" s="108"/>
      <c r="BQ20" s="105">
        <f t="shared" ref="BQ20:BQ37" si="84">SUM(BR20,BT20)</f>
        <v>166.62900000000002</v>
      </c>
      <c r="BR20" s="106">
        <f t="shared" si="16"/>
        <v>166.62900000000002</v>
      </c>
      <c r="BS20" s="107">
        <f t="shared" si="17"/>
        <v>0</v>
      </c>
      <c r="BT20" s="108">
        <f t="shared" ref="BT20:BT36" si="85">BD20+BL20</f>
        <v>0</v>
      </c>
      <c r="BU20" s="105">
        <f t="shared" ref="BU20:BU37" si="86">SUM(BV20,BX20)</f>
        <v>27.579000000000001</v>
      </c>
      <c r="BV20" s="106">
        <f t="shared" si="19"/>
        <v>27.579000000000001</v>
      </c>
      <c r="BW20" s="107">
        <f t="shared" si="20"/>
        <v>0</v>
      </c>
      <c r="BX20" s="108">
        <f t="shared" si="21"/>
        <v>0</v>
      </c>
      <c r="BY20" s="105">
        <f t="shared" si="63"/>
        <v>0</v>
      </c>
      <c r="BZ20" s="106"/>
      <c r="CA20" s="107"/>
      <c r="CB20" s="108"/>
      <c r="CC20" s="105">
        <f t="shared" si="64"/>
        <v>0</v>
      </c>
      <c r="CD20" s="106"/>
      <c r="CE20" s="107"/>
      <c r="CF20" s="108"/>
      <c r="CG20" s="105">
        <f t="shared" ref="CG20:CG37" si="87">SUM(CH20,CJ20)</f>
        <v>166.62900000000002</v>
      </c>
      <c r="CH20" s="106">
        <f t="shared" si="22"/>
        <v>166.62900000000002</v>
      </c>
      <c r="CI20" s="107">
        <f t="shared" si="23"/>
        <v>0</v>
      </c>
      <c r="CJ20" s="108">
        <f t="shared" ref="CJ20:CJ36" si="88">BT20+CB20</f>
        <v>0</v>
      </c>
      <c r="CK20" s="105">
        <f t="shared" ref="CK20:CK37" si="89">SUM(CL20,CN20)</f>
        <v>27.579000000000001</v>
      </c>
      <c r="CL20" s="106">
        <f t="shared" si="25"/>
        <v>27.579000000000001</v>
      </c>
      <c r="CM20" s="107">
        <f t="shared" si="26"/>
        <v>0</v>
      </c>
      <c r="CN20" s="108">
        <f t="shared" si="27"/>
        <v>0</v>
      </c>
      <c r="CO20" s="105">
        <f t="shared" si="65"/>
        <v>0</v>
      </c>
      <c r="CP20" s="106"/>
      <c r="CQ20" s="107"/>
      <c r="CR20" s="108"/>
      <c r="CS20" s="105">
        <f t="shared" si="66"/>
        <v>0</v>
      </c>
      <c r="CT20" s="106"/>
      <c r="CU20" s="107"/>
      <c r="CV20" s="108"/>
      <c r="CW20" s="105">
        <f t="shared" ref="CW20:CW37" si="90">SUM(CX20,CZ20)</f>
        <v>166.62900000000002</v>
      </c>
      <c r="CX20" s="106">
        <f t="shared" si="28"/>
        <v>166.62900000000002</v>
      </c>
      <c r="CY20" s="107">
        <f t="shared" si="29"/>
        <v>0</v>
      </c>
      <c r="CZ20" s="108">
        <f t="shared" ref="CZ20:CZ36" si="91">CJ20+CR20</f>
        <v>0</v>
      </c>
      <c r="DA20" s="105">
        <f t="shared" ref="DA20:DA37" si="92">SUM(DB20,DD20)</f>
        <v>27.579000000000001</v>
      </c>
      <c r="DB20" s="106">
        <f t="shared" si="31"/>
        <v>27.579000000000001</v>
      </c>
      <c r="DC20" s="107">
        <f t="shared" si="32"/>
        <v>0</v>
      </c>
      <c r="DD20" s="108">
        <f t="shared" si="33"/>
        <v>0</v>
      </c>
      <c r="DE20" s="105">
        <f t="shared" si="67"/>
        <v>0</v>
      </c>
      <c r="DF20" s="106"/>
      <c r="DG20" s="107"/>
      <c r="DH20" s="108"/>
      <c r="DI20" s="105">
        <f t="shared" si="68"/>
        <v>0</v>
      </c>
      <c r="DJ20" s="106"/>
      <c r="DK20" s="107"/>
      <c r="DL20" s="108"/>
      <c r="DM20" s="105">
        <f t="shared" ref="DM20:DM37" si="93">SUM(DN20,DP20)</f>
        <v>166.62900000000002</v>
      </c>
      <c r="DN20" s="106">
        <f t="shared" si="34"/>
        <v>166.62900000000002</v>
      </c>
      <c r="DO20" s="107">
        <f t="shared" si="35"/>
        <v>0</v>
      </c>
      <c r="DP20" s="108">
        <f t="shared" ref="DP20:DP36" si="94">CZ20+DH20</f>
        <v>0</v>
      </c>
      <c r="DQ20" s="105">
        <f t="shared" ref="DQ20:DQ37" si="95">SUM(DR20,DT20)</f>
        <v>27.579000000000001</v>
      </c>
      <c r="DR20" s="106">
        <f t="shared" si="37"/>
        <v>27.579000000000001</v>
      </c>
      <c r="DS20" s="107">
        <f t="shared" si="38"/>
        <v>0</v>
      </c>
      <c r="DT20" s="108">
        <f t="shared" si="39"/>
        <v>0</v>
      </c>
      <c r="DU20" s="105">
        <f t="shared" si="69"/>
        <v>0</v>
      </c>
      <c r="DV20" s="106"/>
      <c r="DW20" s="107"/>
      <c r="DX20" s="108"/>
      <c r="DY20" s="105">
        <f t="shared" si="70"/>
        <v>0</v>
      </c>
      <c r="DZ20" s="106"/>
      <c r="EA20" s="107"/>
      <c r="EB20" s="108"/>
      <c r="EC20" s="105">
        <f t="shared" ref="EC20:EC37" si="96">SUM(ED20,EF20)</f>
        <v>166.62900000000002</v>
      </c>
      <c r="ED20" s="106">
        <f t="shared" si="40"/>
        <v>166.62900000000002</v>
      </c>
      <c r="EE20" s="107">
        <f t="shared" si="41"/>
        <v>0</v>
      </c>
      <c r="EF20" s="108">
        <f t="shared" ref="EF20:EF36" si="97">DP20+DX20</f>
        <v>0</v>
      </c>
      <c r="EG20" s="105">
        <f t="shared" ref="EG20:EG37" si="98">SUM(EH20,EJ20)</f>
        <v>27.579000000000001</v>
      </c>
      <c r="EH20" s="106">
        <f t="shared" si="43"/>
        <v>27.579000000000001</v>
      </c>
      <c r="EI20" s="107">
        <f t="shared" si="44"/>
        <v>0</v>
      </c>
      <c r="EJ20" s="108">
        <f t="shared" si="45"/>
        <v>0</v>
      </c>
      <c r="EK20" s="154">
        <f t="shared" si="0"/>
        <v>-36.431000000000012</v>
      </c>
      <c r="EL20" s="154">
        <f t="shared" si="1"/>
        <v>-36.431000000000012</v>
      </c>
      <c r="EM20" s="105">
        <f t="shared" ref="EM20:EM37" si="99">SUM(EN20,EP20)</f>
        <v>130.19800000000001</v>
      </c>
      <c r="EN20" s="106">
        <f>ER20+100.5</f>
        <v>130.19800000000001</v>
      </c>
      <c r="EO20" s="107"/>
      <c r="EP20" s="108"/>
      <c r="EQ20" s="105">
        <f t="shared" si="71"/>
        <v>29.698</v>
      </c>
      <c r="ER20" s="106">
        <v>29.698</v>
      </c>
      <c r="ES20" s="107"/>
      <c r="ET20" s="108"/>
    </row>
    <row r="21" spans="1:150" s="4" customFormat="1" ht="24.65" customHeight="1" x14ac:dyDescent="0.25">
      <c r="A21" s="42" t="s">
        <v>26</v>
      </c>
      <c r="B21" s="140" t="s">
        <v>42</v>
      </c>
      <c r="C21" s="34" t="s">
        <v>129</v>
      </c>
      <c r="D21" s="139" t="s">
        <v>37</v>
      </c>
      <c r="E21" s="105">
        <f t="shared" si="53"/>
        <v>39.5</v>
      </c>
      <c r="F21" s="106">
        <f>J21+20.5+3+0.8+15-0.8</f>
        <v>39.5</v>
      </c>
      <c r="G21" s="107"/>
      <c r="H21" s="108"/>
      <c r="I21" s="105">
        <f t="shared" si="54"/>
        <v>1</v>
      </c>
      <c r="J21" s="106">
        <v>1</v>
      </c>
      <c r="K21" s="107"/>
      <c r="L21" s="108"/>
      <c r="M21" s="105">
        <f t="shared" si="55"/>
        <v>0</v>
      </c>
      <c r="N21" s="106"/>
      <c r="O21" s="107"/>
      <c r="P21" s="108"/>
      <c r="Q21" s="105">
        <f t="shared" si="56"/>
        <v>0</v>
      </c>
      <c r="R21" s="106"/>
      <c r="S21" s="107"/>
      <c r="T21" s="108"/>
      <c r="U21" s="105">
        <f t="shared" si="72"/>
        <v>39.5</v>
      </c>
      <c r="V21" s="106">
        <f t="shared" si="73"/>
        <v>39.5</v>
      </c>
      <c r="W21" s="107">
        <f t="shared" si="74"/>
        <v>0</v>
      </c>
      <c r="X21" s="108">
        <f t="shared" si="75"/>
        <v>0</v>
      </c>
      <c r="Y21" s="105">
        <f t="shared" si="76"/>
        <v>1</v>
      </c>
      <c r="Z21" s="106">
        <f t="shared" si="77"/>
        <v>1</v>
      </c>
      <c r="AA21" s="107">
        <f t="shared" si="78"/>
        <v>0</v>
      </c>
      <c r="AB21" s="108">
        <f t="shared" si="79"/>
        <v>0</v>
      </c>
      <c r="AC21" s="105">
        <f t="shared" si="57"/>
        <v>-10.923999999999999</v>
      </c>
      <c r="AD21" s="106">
        <v>-10.923999999999999</v>
      </c>
      <c r="AE21" s="107"/>
      <c r="AF21" s="108"/>
      <c r="AG21" s="105">
        <f t="shared" si="58"/>
        <v>0</v>
      </c>
      <c r="AH21" s="106"/>
      <c r="AI21" s="107"/>
      <c r="AJ21" s="108"/>
      <c r="AK21" s="105">
        <f t="shared" si="80"/>
        <v>28.576000000000001</v>
      </c>
      <c r="AL21" s="106">
        <f t="shared" si="4"/>
        <v>28.576000000000001</v>
      </c>
      <c r="AM21" s="107">
        <f t="shared" si="5"/>
        <v>0</v>
      </c>
      <c r="AN21" s="108">
        <f t="shared" si="6"/>
        <v>0</v>
      </c>
      <c r="AO21" s="105">
        <f t="shared" si="81"/>
        <v>1</v>
      </c>
      <c r="AP21" s="106">
        <f t="shared" si="7"/>
        <v>1</v>
      </c>
      <c r="AQ21" s="107">
        <f t="shared" si="8"/>
        <v>0</v>
      </c>
      <c r="AR21" s="108">
        <f t="shared" si="9"/>
        <v>0</v>
      </c>
      <c r="AS21" s="105">
        <f t="shared" si="59"/>
        <v>-8.0259999999999998</v>
      </c>
      <c r="AT21" s="106">
        <v>-8.0259999999999998</v>
      </c>
      <c r="AU21" s="107"/>
      <c r="AV21" s="108"/>
      <c r="AW21" s="105">
        <f t="shared" si="60"/>
        <v>0</v>
      </c>
      <c r="AX21" s="106"/>
      <c r="AY21" s="107"/>
      <c r="AZ21" s="108"/>
      <c r="BA21" s="105">
        <f t="shared" si="82"/>
        <v>20.55</v>
      </c>
      <c r="BB21" s="106">
        <f t="shared" si="10"/>
        <v>20.55</v>
      </c>
      <c r="BC21" s="107">
        <f t="shared" si="11"/>
        <v>0</v>
      </c>
      <c r="BD21" s="108">
        <f t="shared" si="12"/>
        <v>0</v>
      </c>
      <c r="BE21" s="105">
        <f t="shared" si="83"/>
        <v>1</v>
      </c>
      <c r="BF21" s="106">
        <f t="shared" si="13"/>
        <v>1</v>
      </c>
      <c r="BG21" s="107">
        <f t="shared" si="14"/>
        <v>0</v>
      </c>
      <c r="BH21" s="108">
        <f t="shared" si="15"/>
        <v>0</v>
      </c>
      <c r="BI21" s="105">
        <f t="shared" si="61"/>
        <v>0</v>
      </c>
      <c r="BJ21" s="106"/>
      <c r="BK21" s="107"/>
      <c r="BL21" s="108"/>
      <c r="BM21" s="105">
        <f t="shared" si="62"/>
        <v>0</v>
      </c>
      <c r="BN21" s="106"/>
      <c r="BO21" s="107"/>
      <c r="BP21" s="108"/>
      <c r="BQ21" s="105">
        <f t="shared" si="84"/>
        <v>20.55</v>
      </c>
      <c r="BR21" s="106">
        <f t="shared" si="16"/>
        <v>20.55</v>
      </c>
      <c r="BS21" s="107">
        <f t="shared" si="17"/>
        <v>0</v>
      </c>
      <c r="BT21" s="108">
        <f t="shared" si="85"/>
        <v>0</v>
      </c>
      <c r="BU21" s="105">
        <f t="shared" si="86"/>
        <v>1</v>
      </c>
      <c r="BV21" s="106">
        <f t="shared" si="19"/>
        <v>1</v>
      </c>
      <c r="BW21" s="107">
        <f t="shared" si="20"/>
        <v>0</v>
      </c>
      <c r="BX21" s="108">
        <f t="shared" si="21"/>
        <v>0</v>
      </c>
      <c r="BY21" s="105">
        <f t="shared" si="63"/>
        <v>0</v>
      </c>
      <c r="BZ21" s="106"/>
      <c r="CA21" s="107"/>
      <c r="CB21" s="108"/>
      <c r="CC21" s="105">
        <f t="shared" si="64"/>
        <v>0</v>
      </c>
      <c r="CD21" s="106"/>
      <c r="CE21" s="107"/>
      <c r="CF21" s="108"/>
      <c r="CG21" s="105">
        <f t="shared" si="87"/>
        <v>20.55</v>
      </c>
      <c r="CH21" s="106">
        <f t="shared" si="22"/>
        <v>20.55</v>
      </c>
      <c r="CI21" s="107">
        <f t="shared" si="23"/>
        <v>0</v>
      </c>
      <c r="CJ21" s="108">
        <f t="shared" si="88"/>
        <v>0</v>
      </c>
      <c r="CK21" s="105">
        <f t="shared" si="89"/>
        <v>1</v>
      </c>
      <c r="CL21" s="106">
        <f t="shared" si="25"/>
        <v>1</v>
      </c>
      <c r="CM21" s="107">
        <f t="shared" si="26"/>
        <v>0</v>
      </c>
      <c r="CN21" s="108">
        <f t="shared" si="27"/>
        <v>0</v>
      </c>
      <c r="CO21" s="105">
        <f t="shared" si="65"/>
        <v>-5.9480000000000004</v>
      </c>
      <c r="CP21" s="106">
        <v>-5.9480000000000004</v>
      </c>
      <c r="CQ21" s="107"/>
      <c r="CR21" s="108"/>
      <c r="CS21" s="105">
        <f t="shared" si="66"/>
        <v>0</v>
      </c>
      <c r="CT21" s="106"/>
      <c r="CU21" s="107"/>
      <c r="CV21" s="108"/>
      <c r="CW21" s="105">
        <f t="shared" si="90"/>
        <v>14.602</v>
      </c>
      <c r="CX21" s="106">
        <f t="shared" si="28"/>
        <v>14.602</v>
      </c>
      <c r="CY21" s="107">
        <f t="shared" si="29"/>
        <v>0</v>
      </c>
      <c r="CZ21" s="108">
        <f t="shared" si="91"/>
        <v>0</v>
      </c>
      <c r="DA21" s="105">
        <f t="shared" si="92"/>
        <v>1</v>
      </c>
      <c r="DB21" s="106">
        <f t="shared" si="31"/>
        <v>1</v>
      </c>
      <c r="DC21" s="107">
        <f t="shared" si="32"/>
        <v>0</v>
      </c>
      <c r="DD21" s="108">
        <f t="shared" si="33"/>
        <v>0</v>
      </c>
      <c r="DE21" s="105">
        <f t="shared" si="67"/>
        <v>0</v>
      </c>
      <c r="DF21" s="106"/>
      <c r="DG21" s="107"/>
      <c r="DH21" s="108"/>
      <c r="DI21" s="105">
        <f t="shared" si="68"/>
        <v>0</v>
      </c>
      <c r="DJ21" s="106"/>
      <c r="DK21" s="107"/>
      <c r="DL21" s="108"/>
      <c r="DM21" s="105">
        <f t="shared" si="93"/>
        <v>14.602</v>
      </c>
      <c r="DN21" s="106">
        <f t="shared" si="34"/>
        <v>14.602</v>
      </c>
      <c r="DO21" s="107">
        <f t="shared" si="35"/>
        <v>0</v>
      </c>
      <c r="DP21" s="108">
        <f t="shared" si="94"/>
        <v>0</v>
      </c>
      <c r="DQ21" s="105">
        <f t="shared" si="95"/>
        <v>1</v>
      </c>
      <c r="DR21" s="106">
        <f t="shared" si="37"/>
        <v>1</v>
      </c>
      <c r="DS21" s="107">
        <f t="shared" si="38"/>
        <v>0</v>
      </c>
      <c r="DT21" s="108">
        <f t="shared" si="39"/>
        <v>0</v>
      </c>
      <c r="DU21" s="105">
        <f t="shared" si="69"/>
        <v>0</v>
      </c>
      <c r="DV21" s="106"/>
      <c r="DW21" s="107"/>
      <c r="DX21" s="108"/>
      <c r="DY21" s="105">
        <f t="shared" si="70"/>
        <v>0</v>
      </c>
      <c r="DZ21" s="106"/>
      <c r="EA21" s="107"/>
      <c r="EB21" s="108"/>
      <c r="EC21" s="105">
        <f t="shared" si="96"/>
        <v>14.602</v>
      </c>
      <c r="ED21" s="106">
        <f t="shared" si="40"/>
        <v>14.602</v>
      </c>
      <c r="EE21" s="107">
        <f t="shared" si="41"/>
        <v>0</v>
      </c>
      <c r="EF21" s="108">
        <f t="shared" si="97"/>
        <v>0</v>
      </c>
      <c r="EG21" s="105">
        <f t="shared" si="98"/>
        <v>1</v>
      </c>
      <c r="EH21" s="106">
        <f t="shared" si="43"/>
        <v>1</v>
      </c>
      <c r="EI21" s="107">
        <f t="shared" si="44"/>
        <v>0</v>
      </c>
      <c r="EJ21" s="108">
        <f t="shared" si="45"/>
        <v>0</v>
      </c>
      <c r="EK21" s="163">
        <f t="shared" si="0"/>
        <v>37.494</v>
      </c>
      <c r="EL21" s="163">
        <f t="shared" si="1"/>
        <v>62.391999999999996</v>
      </c>
      <c r="EM21" s="105">
        <f t="shared" si="99"/>
        <v>76.994</v>
      </c>
      <c r="EN21" s="106">
        <f>ER21+25+1+4+1+20</f>
        <v>76.994</v>
      </c>
      <c r="EO21" s="107"/>
      <c r="EP21" s="108"/>
      <c r="EQ21" s="105">
        <f t="shared" si="71"/>
        <v>25.994</v>
      </c>
      <c r="ER21" s="106">
        <f>26.372-0.378</f>
        <v>25.994</v>
      </c>
      <c r="ES21" s="107"/>
      <c r="ET21" s="108"/>
    </row>
    <row r="22" spans="1:150" s="4" customFormat="1" ht="24.65" customHeight="1" x14ac:dyDescent="0.25">
      <c r="A22" s="142" t="s">
        <v>32</v>
      </c>
      <c r="B22" s="43" t="s">
        <v>120</v>
      </c>
      <c r="C22" s="34" t="s">
        <v>130</v>
      </c>
      <c r="D22" s="139" t="s">
        <v>37</v>
      </c>
      <c r="E22" s="105">
        <f>SUM(F22,H22)</f>
        <v>126.374</v>
      </c>
      <c r="F22" s="106">
        <f>J22+9.2+11.5</f>
        <v>74.774000000000001</v>
      </c>
      <c r="G22" s="107">
        <f>K22</f>
        <v>16.387</v>
      </c>
      <c r="H22" s="108">
        <f>L22</f>
        <v>51.6</v>
      </c>
      <c r="I22" s="105">
        <f t="shared" si="54"/>
        <v>105.67400000000001</v>
      </c>
      <c r="J22" s="106">
        <v>54.073999999999998</v>
      </c>
      <c r="K22" s="107">
        <v>16.387</v>
      </c>
      <c r="L22" s="108">
        <v>51.6</v>
      </c>
      <c r="M22" s="105">
        <f>SUM(N22,P22)</f>
        <v>0</v>
      </c>
      <c r="N22" s="106"/>
      <c r="O22" s="107"/>
      <c r="P22" s="108"/>
      <c r="Q22" s="105">
        <f t="shared" si="56"/>
        <v>0</v>
      </c>
      <c r="R22" s="106"/>
      <c r="S22" s="107"/>
      <c r="T22" s="108"/>
      <c r="U22" s="105">
        <f t="shared" si="72"/>
        <v>126.374</v>
      </c>
      <c r="V22" s="106">
        <f t="shared" si="73"/>
        <v>74.774000000000001</v>
      </c>
      <c r="W22" s="107">
        <f t="shared" si="74"/>
        <v>16.387</v>
      </c>
      <c r="X22" s="108">
        <f t="shared" si="75"/>
        <v>51.6</v>
      </c>
      <c r="Y22" s="105">
        <f t="shared" si="76"/>
        <v>105.67400000000001</v>
      </c>
      <c r="Z22" s="106">
        <f t="shared" si="77"/>
        <v>54.073999999999998</v>
      </c>
      <c r="AA22" s="107">
        <f t="shared" si="78"/>
        <v>16.387</v>
      </c>
      <c r="AB22" s="108">
        <f t="shared" si="79"/>
        <v>51.6</v>
      </c>
      <c r="AC22" s="105">
        <f>SUM(AD22,AF22)</f>
        <v>0</v>
      </c>
      <c r="AD22" s="106"/>
      <c r="AE22" s="107"/>
      <c r="AF22" s="108"/>
      <c r="AG22" s="105">
        <f t="shared" si="58"/>
        <v>0</v>
      </c>
      <c r="AH22" s="106"/>
      <c r="AI22" s="107"/>
      <c r="AJ22" s="108"/>
      <c r="AK22" s="105">
        <f t="shared" si="80"/>
        <v>126.374</v>
      </c>
      <c r="AL22" s="106">
        <f t="shared" si="4"/>
        <v>74.774000000000001</v>
      </c>
      <c r="AM22" s="107">
        <f t="shared" si="5"/>
        <v>16.387</v>
      </c>
      <c r="AN22" s="108">
        <f t="shared" si="6"/>
        <v>51.6</v>
      </c>
      <c r="AO22" s="105">
        <f t="shared" si="81"/>
        <v>105.67400000000001</v>
      </c>
      <c r="AP22" s="106">
        <f t="shared" si="7"/>
        <v>54.073999999999998</v>
      </c>
      <c r="AQ22" s="107">
        <f t="shared" si="8"/>
        <v>16.387</v>
      </c>
      <c r="AR22" s="108">
        <f t="shared" si="9"/>
        <v>51.6</v>
      </c>
      <c r="AS22" s="105">
        <f>SUM(AT22,AV22)</f>
        <v>0</v>
      </c>
      <c r="AT22" s="106"/>
      <c r="AU22" s="107"/>
      <c r="AV22" s="108"/>
      <c r="AW22" s="105">
        <f t="shared" si="60"/>
        <v>0</v>
      </c>
      <c r="AX22" s="106"/>
      <c r="AY22" s="107"/>
      <c r="AZ22" s="108"/>
      <c r="BA22" s="105">
        <f t="shared" si="82"/>
        <v>126.374</v>
      </c>
      <c r="BB22" s="106">
        <f t="shared" si="10"/>
        <v>74.774000000000001</v>
      </c>
      <c r="BC22" s="107">
        <f t="shared" si="11"/>
        <v>16.387</v>
      </c>
      <c r="BD22" s="108">
        <f t="shared" si="12"/>
        <v>51.6</v>
      </c>
      <c r="BE22" s="105">
        <f t="shared" si="83"/>
        <v>105.67400000000001</v>
      </c>
      <c r="BF22" s="106">
        <f t="shared" si="13"/>
        <v>54.073999999999998</v>
      </c>
      <c r="BG22" s="107">
        <f t="shared" si="14"/>
        <v>16.387</v>
      </c>
      <c r="BH22" s="108">
        <f t="shared" si="15"/>
        <v>51.6</v>
      </c>
      <c r="BI22" s="105">
        <f>SUM(BJ22,BL22)</f>
        <v>0</v>
      </c>
      <c r="BJ22" s="106"/>
      <c r="BK22" s="107"/>
      <c r="BL22" s="108"/>
      <c r="BM22" s="105">
        <f t="shared" si="62"/>
        <v>0</v>
      </c>
      <c r="BN22" s="106"/>
      <c r="BO22" s="107"/>
      <c r="BP22" s="108"/>
      <c r="BQ22" s="105">
        <f t="shared" si="84"/>
        <v>126.374</v>
      </c>
      <c r="BR22" s="106">
        <f t="shared" si="16"/>
        <v>74.774000000000001</v>
      </c>
      <c r="BS22" s="107">
        <f t="shared" si="17"/>
        <v>16.387</v>
      </c>
      <c r="BT22" s="108">
        <f t="shared" si="85"/>
        <v>51.6</v>
      </c>
      <c r="BU22" s="105">
        <f t="shared" si="86"/>
        <v>105.67400000000001</v>
      </c>
      <c r="BV22" s="106">
        <f t="shared" si="19"/>
        <v>54.073999999999998</v>
      </c>
      <c r="BW22" s="107">
        <f t="shared" si="20"/>
        <v>16.387</v>
      </c>
      <c r="BX22" s="108">
        <f t="shared" si="21"/>
        <v>51.6</v>
      </c>
      <c r="BY22" s="105">
        <f>SUM(BZ22,CB22)</f>
        <v>0</v>
      </c>
      <c r="BZ22" s="106"/>
      <c r="CA22" s="107"/>
      <c r="CB22" s="108"/>
      <c r="CC22" s="105">
        <f t="shared" si="64"/>
        <v>0</v>
      </c>
      <c r="CD22" s="106"/>
      <c r="CE22" s="107"/>
      <c r="CF22" s="108"/>
      <c r="CG22" s="105">
        <f t="shared" si="87"/>
        <v>126.374</v>
      </c>
      <c r="CH22" s="106">
        <f t="shared" si="22"/>
        <v>74.774000000000001</v>
      </c>
      <c r="CI22" s="107">
        <f t="shared" si="23"/>
        <v>16.387</v>
      </c>
      <c r="CJ22" s="108">
        <f t="shared" si="88"/>
        <v>51.6</v>
      </c>
      <c r="CK22" s="105">
        <f t="shared" si="89"/>
        <v>105.67400000000001</v>
      </c>
      <c r="CL22" s="106">
        <f t="shared" si="25"/>
        <v>54.073999999999998</v>
      </c>
      <c r="CM22" s="107">
        <f t="shared" si="26"/>
        <v>16.387</v>
      </c>
      <c r="CN22" s="108">
        <f t="shared" si="27"/>
        <v>51.6</v>
      </c>
      <c r="CO22" s="105">
        <f>SUM(CP22,CR22)</f>
        <v>0</v>
      </c>
      <c r="CP22" s="106"/>
      <c r="CQ22" s="107"/>
      <c r="CR22" s="108"/>
      <c r="CS22" s="105">
        <f t="shared" si="66"/>
        <v>0</v>
      </c>
      <c r="CT22" s="106"/>
      <c r="CU22" s="107"/>
      <c r="CV22" s="108"/>
      <c r="CW22" s="105">
        <f t="shared" si="90"/>
        <v>126.374</v>
      </c>
      <c r="CX22" s="106">
        <f t="shared" si="28"/>
        <v>74.774000000000001</v>
      </c>
      <c r="CY22" s="107">
        <f t="shared" si="29"/>
        <v>16.387</v>
      </c>
      <c r="CZ22" s="108">
        <f t="shared" si="91"/>
        <v>51.6</v>
      </c>
      <c r="DA22" s="105">
        <f t="shared" si="92"/>
        <v>105.67400000000001</v>
      </c>
      <c r="DB22" s="106">
        <f t="shared" si="31"/>
        <v>54.073999999999998</v>
      </c>
      <c r="DC22" s="107">
        <f t="shared" si="32"/>
        <v>16.387</v>
      </c>
      <c r="DD22" s="108">
        <f t="shared" si="33"/>
        <v>51.6</v>
      </c>
      <c r="DE22" s="105">
        <f>SUM(DF22,DH22)</f>
        <v>0</v>
      </c>
      <c r="DF22" s="106"/>
      <c r="DG22" s="107"/>
      <c r="DH22" s="108"/>
      <c r="DI22" s="105">
        <f t="shared" si="68"/>
        <v>0</v>
      </c>
      <c r="DJ22" s="106"/>
      <c r="DK22" s="107"/>
      <c r="DL22" s="108"/>
      <c r="DM22" s="105">
        <f t="shared" si="93"/>
        <v>126.374</v>
      </c>
      <c r="DN22" s="106">
        <f t="shared" si="34"/>
        <v>74.774000000000001</v>
      </c>
      <c r="DO22" s="107">
        <f t="shared" si="35"/>
        <v>16.387</v>
      </c>
      <c r="DP22" s="108">
        <f t="shared" si="94"/>
        <v>51.6</v>
      </c>
      <c r="DQ22" s="105">
        <f t="shared" si="95"/>
        <v>105.67400000000001</v>
      </c>
      <c r="DR22" s="106">
        <f t="shared" si="37"/>
        <v>54.073999999999998</v>
      </c>
      <c r="DS22" s="107">
        <f t="shared" si="38"/>
        <v>16.387</v>
      </c>
      <c r="DT22" s="108">
        <f t="shared" si="39"/>
        <v>51.6</v>
      </c>
      <c r="DU22" s="105">
        <f>SUM(DV22,DX22)</f>
        <v>0</v>
      </c>
      <c r="DV22" s="106"/>
      <c r="DW22" s="107"/>
      <c r="DX22" s="108"/>
      <c r="DY22" s="105">
        <f t="shared" si="70"/>
        <v>0</v>
      </c>
      <c r="DZ22" s="106"/>
      <c r="EA22" s="107"/>
      <c r="EB22" s="108"/>
      <c r="EC22" s="105">
        <f t="shared" si="96"/>
        <v>126.374</v>
      </c>
      <c r="ED22" s="106">
        <f>DN22+DV22</f>
        <v>74.774000000000001</v>
      </c>
      <c r="EE22" s="107">
        <f t="shared" si="41"/>
        <v>16.387</v>
      </c>
      <c r="EF22" s="108">
        <f t="shared" si="97"/>
        <v>51.6</v>
      </c>
      <c r="EG22" s="105">
        <f t="shared" si="98"/>
        <v>105.67400000000001</v>
      </c>
      <c r="EH22" s="106">
        <f t="shared" si="43"/>
        <v>54.073999999999998</v>
      </c>
      <c r="EI22" s="107">
        <f t="shared" si="44"/>
        <v>16.387</v>
      </c>
      <c r="EJ22" s="108">
        <f t="shared" si="45"/>
        <v>51.6</v>
      </c>
      <c r="EK22" s="163">
        <f t="shared" si="0"/>
        <v>81.887000000000029</v>
      </c>
      <c r="EL22" s="163">
        <f t="shared" si="1"/>
        <v>81.887000000000029</v>
      </c>
      <c r="EM22" s="105">
        <f>SUM(EN22,EP22)</f>
        <v>208.26100000000002</v>
      </c>
      <c r="EN22" s="106">
        <f>ER22+20.501</f>
        <v>90.501000000000005</v>
      </c>
      <c r="EO22" s="107">
        <f>ES22</f>
        <v>18.649000000000001</v>
      </c>
      <c r="EP22" s="108">
        <f>ET22</f>
        <v>117.76</v>
      </c>
      <c r="EQ22" s="105">
        <f t="shared" si="71"/>
        <v>187.76</v>
      </c>
      <c r="ER22" s="106">
        <f>40+30</f>
        <v>70</v>
      </c>
      <c r="ES22" s="107">
        <v>18.649000000000001</v>
      </c>
      <c r="ET22" s="108">
        <v>117.76</v>
      </c>
    </row>
    <row r="23" spans="1:150" s="4" customFormat="1" ht="32.25" customHeight="1" x14ac:dyDescent="0.25">
      <c r="A23" s="142" t="s">
        <v>31</v>
      </c>
      <c r="B23" s="43" t="s">
        <v>44</v>
      </c>
      <c r="C23" s="34" t="s">
        <v>131</v>
      </c>
      <c r="D23" s="139" t="s">
        <v>37</v>
      </c>
      <c r="E23" s="105">
        <f t="shared" si="53"/>
        <v>61.9</v>
      </c>
      <c r="F23" s="106">
        <f>47+3.9+11</f>
        <v>61.9</v>
      </c>
      <c r="G23" s="107"/>
      <c r="H23" s="108"/>
      <c r="I23" s="105">
        <f t="shared" si="54"/>
        <v>0</v>
      </c>
      <c r="J23" s="106"/>
      <c r="K23" s="107"/>
      <c r="L23" s="108"/>
      <c r="M23" s="105">
        <f t="shared" ref="M23:M33" si="100">SUM(N23,P23)</f>
        <v>0</v>
      </c>
      <c r="N23" s="106"/>
      <c r="O23" s="107"/>
      <c r="P23" s="108"/>
      <c r="Q23" s="105">
        <f t="shared" si="56"/>
        <v>0</v>
      </c>
      <c r="R23" s="106"/>
      <c r="S23" s="107"/>
      <c r="T23" s="108"/>
      <c r="U23" s="105">
        <f t="shared" si="72"/>
        <v>61.9</v>
      </c>
      <c r="V23" s="106">
        <f t="shared" si="73"/>
        <v>61.9</v>
      </c>
      <c r="W23" s="107">
        <f t="shared" si="74"/>
        <v>0</v>
      </c>
      <c r="X23" s="108">
        <f t="shared" si="75"/>
        <v>0</v>
      </c>
      <c r="Y23" s="105">
        <f t="shared" si="76"/>
        <v>0</v>
      </c>
      <c r="Z23" s="106">
        <f t="shared" si="77"/>
        <v>0</v>
      </c>
      <c r="AA23" s="107">
        <f t="shared" si="78"/>
        <v>0</v>
      </c>
      <c r="AB23" s="108">
        <f t="shared" si="79"/>
        <v>0</v>
      </c>
      <c r="AC23" s="105">
        <f t="shared" ref="AC23:AC33" si="101">SUM(AD23,AF23)</f>
        <v>0</v>
      </c>
      <c r="AD23" s="106"/>
      <c r="AE23" s="107"/>
      <c r="AF23" s="108"/>
      <c r="AG23" s="105">
        <f t="shared" si="58"/>
        <v>0</v>
      </c>
      <c r="AH23" s="106"/>
      <c r="AI23" s="107"/>
      <c r="AJ23" s="108"/>
      <c r="AK23" s="105">
        <f t="shared" si="80"/>
        <v>61.9</v>
      </c>
      <c r="AL23" s="106">
        <f t="shared" si="4"/>
        <v>61.9</v>
      </c>
      <c r="AM23" s="107">
        <f t="shared" si="5"/>
        <v>0</v>
      </c>
      <c r="AN23" s="108">
        <f t="shared" si="6"/>
        <v>0</v>
      </c>
      <c r="AO23" s="105">
        <f t="shared" si="81"/>
        <v>0</v>
      </c>
      <c r="AP23" s="106">
        <f t="shared" si="7"/>
        <v>0</v>
      </c>
      <c r="AQ23" s="107">
        <f t="shared" si="8"/>
        <v>0</v>
      </c>
      <c r="AR23" s="108">
        <f t="shared" si="9"/>
        <v>0</v>
      </c>
      <c r="AS23" s="105">
        <f t="shared" ref="AS23:AS33" si="102">SUM(AT23,AV23)</f>
        <v>0</v>
      </c>
      <c r="AT23" s="106"/>
      <c r="AU23" s="107"/>
      <c r="AV23" s="108"/>
      <c r="AW23" s="105">
        <f t="shared" si="60"/>
        <v>0</v>
      </c>
      <c r="AX23" s="106"/>
      <c r="AY23" s="107"/>
      <c r="AZ23" s="108"/>
      <c r="BA23" s="105">
        <f t="shared" si="82"/>
        <v>61.9</v>
      </c>
      <c r="BB23" s="106">
        <f t="shared" si="10"/>
        <v>61.9</v>
      </c>
      <c r="BC23" s="107">
        <f t="shared" si="11"/>
        <v>0</v>
      </c>
      <c r="BD23" s="108">
        <f t="shared" si="12"/>
        <v>0</v>
      </c>
      <c r="BE23" s="105">
        <f t="shared" si="83"/>
        <v>0</v>
      </c>
      <c r="BF23" s="106">
        <f t="shared" si="13"/>
        <v>0</v>
      </c>
      <c r="BG23" s="107">
        <f t="shared" si="14"/>
        <v>0</v>
      </c>
      <c r="BH23" s="108">
        <f t="shared" si="15"/>
        <v>0</v>
      </c>
      <c r="BI23" s="105">
        <f t="shared" ref="BI23:BI33" si="103">SUM(BJ23,BL23)</f>
        <v>-2.4550000000000001</v>
      </c>
      <c r="BJ23" s="106">
        <v>-2.4550000000000001</v>
      </c>
      <c r="BK23" s="107"/>
      <c r="BL23" s="108"/>
      <c r="BM23" s="105">
        <f t="shared" si="62"/>
        <v>0</v>
      </c>
      <c r="BN23" s="106"/>
      <c r="BO23" s="107"/>
      <c r="BP23" s="108"/>
      <c r="BQ23" s="105">
        <f t="shared" si="84"/>
        <v>59.445</v>
      </c>
      <c r="BR23" s="106">
        <f t="shared" si="16"/>
        <v>59.445</v>
      </c>
      <c r="BS23" s="107">
        <f t="shared" si="17"/>
        <v>0</v>
      </c>
      <c r="BT23" s="108">
        <f t="shared" si="85"/>
        <v>0</v>
      </c>
      <c r="BU23" s="105">
        <f t="shared" si="86"/>
        <v>0</v>
      </c>
      <c r="BV23" s="106">
        <f t="shared" si="19"/>
        <v>0</v>
      </c>
      <c r="BW23" s="107">
        <f t="shared" si="20"/>
        <v>0</v>
      </c>
      <c r="BX23" s="108">
        <f t="shared" si="21"/>
        <v>0</v>
      </c>
      <c r="BY23" s="105">
        <f t="shared" ref="BY23:BY33" si="104">SUM(BZ23,CB23)</f>
        <v>0</v>
      </c>
      <c r="BZ23" s="106"/>
      <c r="CA23" s="107"/>
      <c r="CB23" s="108"/>
      <c r="CC23" s="105">
        <f t="shared" si="64"/>
        <v>0</v>
      </c>
      <c r="CD23" s="106"/>
      <c r="CE23" s="107"/>
      <c r="CF23" s="108"/>
      <c r="CG23" s="105">
        <f t="shared" si="87"/>
        <v>59.445</v>
      </c>
      <c r="CH23" s="106">
        <f t="shared" si="22"/>
        <v>59.445</v>
      </c>
      <c r="CI23" s="107">
        <f t="shared" si="23"/>
        <v>0</v>
      </c>
      <c r="CJ23" s="108">
        <f t="shared" si="88"/>
        <v>0</v>
      </c>
      <c r="CK23" s="105">
        <f t="shared" si="89"/>
        <v>0</v>
      </c>
      <c r="CL23" s="106">
        <f t="shared" si="25"/>
        <v>0</v>
      </c>
      <c r="CM23" s="107">
        <f t="shared" si="26"/>
        <v>0</v>
      </c>
      <c r="CN23" s="108">
        <f t="shared" si="27"/>
        <v>0</v>
      </c>
      <c r="CO23" s="105">
        <f t="shared" ref="CO23:CO33" si="105">SUM(CP23,CR23)</f>
        <v>0</v>
      </c>
      <c r="CP23" s="106"/>
      <c r="CQ23" s="107"/>
      <c r="CR23" s="108"/>
      <c r="CS23" s="105">
        <f t="shared" si="66"/>
        <v>0</v>
      </c>
      <c r="CT23" s="106"/>
      <c r="CU23" s="107"/>
      <c r="CV23" s="108"/>
      <c r="CW23" s="105">
        <f t="shared" si="90"/>
        <v>59.445</v>
      </c>
      <c r="CX23" s="106">
        <f t="shared" si="28"/>
        <v>59.445</v>
      </c>
      <c r="CY23" s="107">
        <f t="shared" si="29"/>
        <v>0</v>
      </c>
      <c r="CZ23" s="108">
        <f t="shared" si="91"/>
        <v>0</v>
      </c>
      <c r="DA23" s="105">
        <f t="shared" si="92"/>
        <v>0</v>
      </c>
      <c r="DB23" s="106">
        <f t="shared" si="31"/>
        <v>0</v>
      </c>
      <c r="DC23" s="107">
        <f t="shared" si="32"/>
        <v>0</v>
      </c>
      <c r="DD23" s="108">
        <f t="shared" si="33"/>
        <v>0</v>
      </c>
      <c r="DE23" s="105">
        <f t="shared" ref="DE23:DE33" si="106">SUM(DF23,DH23)</f>
        <v>-0.19500000000000001</v>
      </c>
      <c r="DF23" s="106">
        <v>-0.19500000000000001</v>
      </c>
      <c r="DG23" s="107"/>
      <c r="DH23" s="108"/>
      <c r="DI23" s="105">
        <f t="shared" si="68"/>
        <v>0</v>
      </c>
      <c r="DJ23" s="106"/>
      <c r="DK23" s="107"/>
      <c r="DL23" s="108"/>
      <c r="DM23" s="105">
        <f t="shared" si="93"/>
        <v>59.25</v>
      </c>
      <c r="DN23" s="106">
        <f>CX23+DF23</f>
        <v>59.25</v>
      </c>
      <c r="DO23" s="107">
        <f t="shared" si="35"/>
        <v>0</v>
      </c>
      <c r="DP23" s="108">
        <f t="shared" si="94"/>
        <v>0</v>
      </c>
      <c r="DQ23" s="105">
        <f t="shared" si="95"/>
        <v>0</v>
      </c>
      <c r="DR23" s="106">
        <f t="shared" si="37"/>
        <v>0</v>
      </c>
      <c r="DS23" s="107">
        <f t="shared" si="38"/>
        <v>0</v>
      </c>
      <c r="DT23" s="108">
        <f t="shared" si="39"/>
        <v>0</v>
      </c>
      <c r="DU23" s="105">
        <f t="shared" ref="DU23:DU33" si="107">SUM(DV23,DX23)</f>
        <v>0</v>
      </c>
      <c r="DV23" s="106"/>
      <c r="DW23" s="107"/>
      <c r="DX23" s="108"/>
      <c r="DY23" s="105">
        <f t="shared" si="70"/>
        <v>0</v>
      </c>
      <c r="DZ23" s="106"/>
      <c r="EA23" s="107"/>
      <c r="EB23" s="108"/>
      <c r="EC23" s="105">
        <f t="shared" si="96"/>
        <v>59.25</v>
      </c>
      <c r="ED23" s="106">
        <f>DN23+DV23</f>
        <v>59.25</v>
      </c>
      <c r="EE23" s="107">
        <f t="shared" si="41"/>
        <v>0</v>
      </c>
      <c r="EF23" s="108">
        <f t="shared" si="97"/>
        <v>0</v>
      </c>
      <c r="EG23" s="105">
        <f t="shared" si="98"/>
        <v>0</v>
      </c>
      <c r="EH23" s="106">
        <f t="shared" si="43"/>
        <v>0</v>
      </c>
      <c r="EI23" s="107">
        <f t="shared" si="44"/>
        <v>0</v>
      </c>
      <c r="EJ23" s="108">
        <f t="shared" si="45"/>
        <v>0</v>
      </c>
      <c r="EK23" s="163">
        <f t="shared" si="0"/>
        <v>21.6</v>
      </c>
      <c r="EL23" s="163">
        <f t="shared" si="1"/>
        <v>24.25</v>
      </c>
      <c r="EM23" s="105">
        <f t="shared" si="99"/>
        <v>83.5</v>
      </c>
      <c r="EN23" s="106">
        <f>ER23+58.5+10</f>
        <v>83.5</v>
      </c>
      <c r="EO23" s="107"/>
      <c r="EP23" s="108"/>
      <c r="EQ23" s="105">
        <f t="shared" si="71"/>
        <v>15</v>
      </c>
      <c r="ER23" s="106">
        <v>15</v>
      </c>
      <c r="ES23" s="107"/>
      <c r="ET23" s="108"/>
    </row>
    <row r="24" spans="1:150" s="4" customFormat="1" ht="23.25" customHeight="1" x14ac:dyDescent="0.25">
      <c r="A24" s="142" t="s">
        <v>40</v>
      </c>
      <c r="B24" s="43" t="s">
        <v>116</v>
      </c>
      <c r="C24" s="34" t="s">
        <v>132</v>
      </c>
      <c r="D24" s="139" t="s">
        <v>37</v>
      </c>
      <c r="E24" s="105">
        <f t="shared" si="53"/>
        <v>228.15</v>
      </c>
      <c r="F24" s="106">
        <f>J24+10+5+3+1.5+0.5+2.5+5+50+0.5+5+40</f>
        <v>148.15</v>
      </c>
      <c r="G24" s="107"/>
      <c r="H24" s="108">
        <v>80</v>
      </c>
      <c r="I24" s="105">
        <f t="shared" si="54"/>
        <v>25.15</v>
      </c>
      <c r="J24" s="106">
        <v>25.15</v>
      </c>
      <c r="K24" s="107"/>
      <c r="L24" s="108"/>
      <c r="M24" s="105">
        <f t="shared" si="100"/>
        <v>0</v>
      </c>
      <c r="N24" s="106"/>
      <c r="O24" s="107"/>
      <c r="P24" s="108"/>
      <c r="Q24" s="105">
        <f t="shared" si="56"/>
        <v>0</v>
      </c>
      <c r="R24" s="106"/>
      <c r="S24" s="107"/>
      <c r="T24" s="108"/>
      <c r="U24" s="105">
        <f t="shared" si="72"/>
        <v>228.15</v>
      </c>
      <c r="V24" s="106">
        <f t="shared" si="73"/>
        <v>148.15</v>
      </c>
      <c r="W24" s="107">
        <f t="shared" si="74"/>
        <v>0</v>
      </c>
      <c r="X24" s="108">
        <f t="shared" si="75"/>
        <v>80</v>
      </c>
      <c r="Y24" s="105">
        <f t="shared" si="76"/>
        <v>25.15</v>
      </c>
      <c r="Z24" s="106">
        <f t="shared" si="77"/>
        <v>25.15</v>
      </c>
      <c r="AA24" s="107">
        <f t="shared" si="78"/>
        <v>0</v>
      </c>
      <c r="AB24" s="108">
        <f t="shared" si="79"/>
        <v>0</v>
      </c>
      <c r="AC24" s="105">
        <f t="shared" si="101"/>
        <v>0</v>
      </c>
      <c r="AD24" s="106"/>
      <c r="AE24" s="107"/>
      <c r="AF24" s="108"/>
      <c r="AG24" s="105">
        <f t="shared" si="58"/>
        <v>0</v>
      </c>
      <c r="AH24" s="106"/>
      <c r="AI24" s="107"/>
      <c r="AJ24" s="108"/>
      <c r="AK24" s="105">
        <f t="shared" si="80"/>
        <v>228.15</v>
      </c>
      <c r="AL24" s="106">
        <f t="shared" si="4"/>
        <v>148.15</v>
      </c>
      <c r="AM24" s="107">
        <f t="shared" si="5"/>
        <v>0</v>
      </c>
      <c r="AN24" s="108">
        <f t="shared" si="6"/>
        <v>80</v>
      </c>
      <c r="AO24" s="105">
        <f t="shared" si="81"/>
        <v>25.15</v>
      </c>
      <c r="AP24" s="106">
        <f t="shared" si="7"/>
        <v>25.15</v>
      </c>
      <c r="AQ24" s="107">
        <f t="shared" si="8"/>
        <v>0</v>
      </c>
      <c r="AR24" s="108">
        <f t="shared" si="9"/>
        <v>0</v>
      </c>
      <c r="AS24" s="105">
        <f t="shared" si="102"/>
        <v>0</v>
      </c>
      <c r="AT24" s="106"/>
      <c r="AU24" s="107"/>
      <c r="AV24" s="108"/>
      <c r="AW24" s="105">
        <f t="shared" si="60"/>
        <v>0</v>
      </c>
      <c r="AX24" s="106"/>
      <c r="AY24" s="107"/>
      <c r="AZ24" s="108"/>
      <c r="BA24" s="105">
        <f t="shared" si="82"/>
        <v>228.15</v>
      </c>
      <c r="BB24" s="106">
        <f t="shared" si="10"/>
        <v>148.15</v>
      </c>
      <c r="BC24" s="107">
        <f t="shared" si="11"/>
        <v>0</v>
      </c>
      <c r="BD24" s="108">
        <f t="shared" si="12"/>
        <v>80</v>
      </c>
      <c r="BE24" s="105">
        <f t="shared" si="83"/>
        <v>25.15</v>
      </c>
      <c r="BF24" s="106">
        <f t="shared" si="13"/>
        <v>25.15</v>
      </c>
      <c r="BG24" s="107">
        <f t="shared" si="14"/>
        <v>0</v>
      </c>
      <c r="BH24" s="108">
        <f t="shared" si="15"/>
        <v>0</v>
      </c>
      <c r="BI24" s="105">
        <f t="shared" si="103"/>
        <v>0</v>
      </c>
      <c r="BJ24" s="106"/>
      <c r="BK24" s="107"/>
      <c r="BL24" s="108"/>
      <c r="BM24" s="105">
        <f t="shared" si="62"/>
        <v>0</v>
      </c>
      <c r="BN24" s="106"/>
      <c r="BO24" s="107"/>
      <c r="BP24" s="108"/>
      <c r="BQ24" s="105">
        <f t="shared" si="84"/>
        <v>228.15</v>
      </c>
      <c r="BR24" s="106">
        <f t="shared" si="16"/>
        <v>148.15</v>
      </c>
      <c r="BS24" s="107">
        <f t="shared" si="17"/>
        <v>0</v>
      </c>
      <c r="BT24" s="108">
        <f t="shared" si="85"/>
        <v>80</v>
      </c>
      <c r="BU24" s="105">
        <f t="shared" si="86"/>
        <v>25.15</v>
      </c>
      <c r="BV24" s="106">
        <f t="shared" si="19"/>
        <v>25.15</v>
      </c>
      <c r="BW24" s="107">
        <f t="shared" si="20"/>
        <v>0</v>
      </c>
      <c r="BX24" s="108">
        <f t="shared" si="21"/>
        <v>0</v>
      </c>
      <c r="BY24" s="164">
        <f t="shared" si="104"/>
        <v>-0.55000000000000004</v>
      </c>
      <c r="BZ24" s="147">
        <v>-0.55000000000000004</v>
      </c>
      <c r="CA24" s="161"/>
      <c r="CB24" s="162"/>
      <c r="CC24" s="164">
        <f t="shared" si="64"/>
        <v>0</v>
      </c>
      <c r="CD24" s="147"/>
      <c r="CE24" s="161"/>
      <c r="CF24" s="162"/>
      <c r="CG24" s="105">
        <f t="shared" si="87"/>
        <v>227.6</v>
      </c>
      <c r="CH24" s="106">
        <f t="shared" si="22"/>
        <v>147.6</v>
      </c>
      <c r="CI24" s="107">
        <f t="shared" si="23"/>
        <v>0</v>
      </c>
      <c r="CJ24" s="108">
        <f t="shared" si="88"/>
        <v>80</v>
      </c>
      <c r="CK24" s="105">
        <f t="shared" si="89"/>
        <v>25.15</v>
      </c>
      <c r="CL24" s="106">
        <f t="shared" si="25"/>
        <v>25.15</v>
      </c>
      <c r="CM24" s="107">
        <f t="shared" si="26"/>
        <v>0</v>
      </c>
      <c r="CN24" s="108">
        <f t="shared" si="27"/>
        <v>0</v>
      </c>
      <c r="CO24" s="164">
        <f t="shared" si="105"/>
        <v>0</v>
      </c>
      <c r="CP24" s="147"/>
      <c r="CQ24" s="161"/>
      <c r="CR24" s="162"/>
      <c r="CS24" s="164">
        <f t="shared" si="66"/>
        <v>0</v>
      </c>
      <c r="CT24" s="147"/>
      <c r="CU24" s="161"/>
      <c r="CV24" s="162"/>
      <c r="CW24" s="105">
        <f t="shared" si="90"/>
        <v>227.6</v>
      </c>
      <c r="CX24" s="106">
        <f t="shared" si="28"/>
        <v>147.6</v>
      </c>
      <c r="CY24" s="107">
        <f t="shared" si="29"/>
        <v>0</v>
      </c>
      <c r="CZ24" s="108">
        <f t="shared" si="91"/>
        <v>80</v>
      </c>
      <c r="DA24" s="105">
        <f t="shared" si="92"/>
        <v>25.15</v>
      </c>
      <c r="DB24" s="106">
        <f t="shared" si="31"/>
        <v>25.15</v>
      </c>
      <c r="DC24" s="107">
        <f t="shared" si="32"/>
        <v>0</v>
      </c>
      <c r="DD24" s="108">
        <f t="shared" si="33"/>
        <v>0</v>
      </c>
      <c r="DE24" s="164">
        <f t="shared" si="106"/>
        <v>0</v>
      </c>
      <c r="DF24" s="147"/>
      <c r="DG24" s="161"/>
      <c r="DH24" s="162"/>
      <c r="DI24" s="164">
        <f t="shared" si="68"/>
        <v>0</v>
      </c>
      <c r="DJ24" s="147"/>
      <c r="DK24" s="161"/>
      <c r="DL24" s="162"/>
      <c r="DM24" s="105">
        <f t="shared" si="93"/>
        <v>227.6</v>
      </c>
      <c r="DN24" s="106">
        <f t="shared" si="34"/>
        <v>147.6</v>
      </c>
      <c r="DO24" s="107">
        <f t="shared" si="35"/>
        <v>0</v>
      </c>
      <c r="DP24" s="108">
        <f t="shared" si="94"/>
        <v>80</v>
      </c>
      <c r="DQ24" s="105">
        <f t="shared" si="95"/>
        <v>25.15</v>
      </c>
      <c r="DR24" s="106">
        <f t="shared" si="37"/>
        <v>25.15</v>
      </c>
      <c r="DS24" s="107">
        <f t="shared" si="38"/>
        <v>0</v>
      </c>
      <c r="DT24" s="108">
        <f t="shared" si="39"/>
        <v>0</v>
      </c>
      <c r="DU24" s="164">
        <f t="shared" si="107"/>
        <v>0</v>
      </c>
      <c r="DV24" s="147"/>
      <c r="DW24" s="161"/>
      <c r="DX24" s="162"/>
      <c r="DY24" s="164">
        <f t="shared" si="70"/>
        <v>0</v>
      </c>
      <c r="DZ24" s="147"/>
      <c r="EA24" s="161"/>
      <c r="EB24" s="162"/>
      <c r="EC24" s="105">
        <f t="shared" si="96"/>
        <v>227.6</v>
      </c>
      <c r="ED24" s="106">
        <f t="shared" ref="ED24:ED36" si="108">DN24+DV24</f>
        <v>147.6</v>
      </c>
      <c r="EE24" s="107">
        <f t="shared" si="41"/>
        <v>0</v>
      </c>
      <c r="EF24" s="108">
        <f t="shared" si="97"/>
        <v>80</v>
      </c>
      <c r="EG24" s="105">
        <f t="shared" si="98"/>
        <v>25.15</v>
      </c>
      <c r="EH24" s="106">
        <f t="shared" si="43"/>
        <v>25.15</v>
      </c>
      <c r="EI24" s="107">
        <f t="shared" si="44"/>
        <v>0</v>
      </c>
      <c r="EJ24" s="108">
        <f t="shared" si="45"/>
        <v>0</v>
      </c>
      <c r="EK24" s="154">
        <f t="shared" si="0"/>
        <v>-12.960999999999984</v>
      </c>
      <c r="EL24" s="154">
        <f t="shared" si="1"/>
        <v>-12.410999999999973</v>
      </c>
      <c r="EM24" s="105">
        <f t="shared" si="99"/>
        <v>215.18900000000002</v>
      </c>
      <c r="EN24" s="106">
        <f>ER24+110.1+15</f>
        <v>143.38900000000001</v>
      </c>
      <c r="EO24" s="107"/>
      <c r="EP24" s="108">
        <v>71.8</v>
      </c>
      <c r="EQ24" s="105">
        <f t="shared" si="71"/>
        <v>18.289000000000001</v>
      </c>
      <c r="ER24" s="106">
        <v>18.289000000000001</v>
      </c>
      <c r="ES24" s="107"/>
      <c r="ET24" s="108"/>
    </row>
    <row r="25" spans="1:150" s="4" customFormat="1" ht="25.5" customHeight="1" x14ac:dyDescent="0.25">
      <c r="A25" s="134" t="s">
        <v>24</v>
      </c>
      <c r="B25" s="140" t="s">
        <v>45</v>
      </c>
      <c r="C25" s="34" t="s">
        <v>133</v>
      </c>
      <c r="D25" s="139" t="s">
        <v>37</v>
      </c>
      <c r="E25" s="105">
        <f t="shared" si="53"/>
        <v>2243.8949999999995</v>
      </c>
      <c r="F25" s="106">
        <f>J25+1432.3+0.5+25.95+10.94+0.3+4+20+1.3+1.5+1.2+3+10+0.3+6.87+8</f>
        <v>1597.9709999999998</v>
      </c>
      <c r="G25" s="107">
        <f>K25</f>
        <v>0</v>
      </c>
      <c r="H25" s="108">
        <f>L25+261.125+10+80</f>
        <v>645.92399999999998</v>
      </c>
      <c r="I25" s="105">
        <f t="shared" si="54"/>
        <v>366.61</v>
      </c>
      <c r="J25" s="106">
        <v>71.811000000000007</v>
      </c>
      <c r="K25" s="107"/>
      <c r="L25" s="108">
        <f>4.732+50+240.067</f>
        <v>294.79899999999998</v>
      </c>
      <c r="M25" s="105">
        <f t="shared" si="100"/>
        <v>0</v>
      </c>
      <c r="N25" s="106">
        <f>R25</f>
        <v>1</v>
      </c>
      <c r="O25" s="107"/>
      <c r="P25" s="108">
        <f>T25</f>
        <v>-1</v>
      </c>
      <c r="Q25" s="105">
        <f t="shared" si="56"/>
        <v>0</v>
      </c>
      <c r="R25" s="106">
        <v>1</v>
      </c>
      <c r="S25" s="107"/>
      <c r="T25" s="108">
        <v>-1</v>
      </c>
      <c r="U25" s="105">
        <f t="shared" si="72"/>
        <v>2243.8949999999995</v>
      </c>
      <c r="V25" s="106">
        <f t="shared" si="73"/>
        <v>1598.9709999999998</v>
      </c>
      <c r="W25" s="107">
        <f t="shared" si="74"/>
        <v>0</v>
      </c>
      <c r="X25" s="108">
        <f t="shared" si="75"/>
        <v>644.92399999999998</v>
      </c>
      <c r="Y25" s="105">
        <f t="shared" si="76"/>
        <v>366.61</v>
      </c>
      <c r="Z25" s="106">
        <f t="shared" si="77"/>
        <v>72.811000000000007</v>
      </c>
      <c r="AA25" s="107">
        <f t="shared" si="78"/>
        <v>0</v>
      </c>
      <c r="AB25" s="108">
        <f>L25+T25</f>
        <v>293.79899999999998</v>
      </c>
      <c r="AC25" s="105">
        <f t="shared" si="101"/>
        <v>-0.16200000000000001</v>
      </c>
      <c r="AD25" s="106">
        <v>-0.16200000000000001</v>
      </c>
      <c r="AE25" s="107"/>
      <c r="AF25" s="108">
        <f>AJ25</f>
        <v>0</v>
      </c>
      <c r="AG25" s="105">
        <f t="shared" si="58"/>
        <v>0</v>
      </c>
      <c r="AH25" s="106"/>
      <c r="AI25" s="107"/>
      <c r="AJ25" s="108"/>
      <c r="AK25" s="105">
        <f t="shared" si="80"/>
        <v>2243.7329999999997</v>
      </c>
      <c r="AL25" s="106">
        <f t="shared" si="4"/>
        <v>1598.8089999999997</v>
      </c>
      <c r="AM25" s="107">
        <f t="shared" si="5"/>
        <v>0</v>
      </c>
      <c r="AN25" s="108">
        <f t="shared" si="6"/>
        <v>644.92399999999998</v>
      </c>
      <c r="AO25" s="105">
        <f t="shared" si="81"/>
        <v>366.61</v>
      </c>
      <c r="AP25" s="106">
        <f t="shared" si="7"/>
        <v>72.811000000000007</v>
      </c>
      <c r="AQ25" s="107">
        <f t="shared" si="8"/>
        <v>0</v>
      </c>
      <c r="AR25" s="108">
        <f>AB25+AJ25</f>
        <v>293.79899999999998</v>
      </c>
      <c r="AS25" s="105">
        <f t="shared" si="102"/>
        <v>0</v>
      </c>
      <c r="AT25" s="106"/>
      <c r="AU25" s="107"/>
      <c r="AV25" s="108"/>
      <c r="AW25" s="105">
        <f t="shared" si="60"/>
        <v>0</v>
      </c>
      <c r="AX25" s="106"/>
      <c r="AY25" s="107"/>
      <c r="AZ25" s="108"/>
      <c r="BA25" s="105">
        <f t="shared" si="82"/>
        <v>2243.7329999999997</v>
      </c>
      <c r="BB25" s="106">
        <f t="shared" si="10"/>
        <v>1598.8089999999997</v>
      </c>
      <c r="BC25" s="107">
        <f t="shared" si="11"/>
        <v>0</v>
      </c>
      <c r="BD25" s="108">
        <f t="shared" si="12"/>
        <v>644.92399999999998</v>
      </c>
      <c r="BE25" s="105">
        <f t="shared" si="83"/>
        <v>366.61</v>
      </c>
      <c r="BF25" s="106">
        <f t="shared" si="13"/>
        <v>72.811000000000007</v>
      </c>
      <c r="BG25" s="107">
        <f t="shared" si="14"/>
        <v>0</v>
      </c>
      <c r="BH25" s="108">
        <f>AR25+AZ25</f>
        <v>293.79899999999998</v>
      </c>
      <c r="BI25" s="105">
        <f t="shared" si="103"/>
        <v>-0.18</v>
      </c>
      <c r="BJ25" s="106">
        <v>-0.18</v>
      </c>
      <c r="BK25" s="107"/>
      <c r="BL25" s="108"/>
      <c r="BM25" s="105">
        <f t="shared" si="62"/>
        <v>0</v>
      </c>
      <c r="BN25" s="106"/>
      <c r="BO25" s="107"/>
      <c r="BP25" s="108"/>
      <c r="BQ25" s="105">
        <f t="shared" si="84"/>
        <v>2243.5529999999999</v>
      </c>
      <c r="BR25" s="106">
        <f t="shared" si="16"/>
        <v>1598.6289999999997</v>
      </c>
      <c r="BS25" s="107">
        <f t="shared" si="17"/>
        <v>0</v>
      </c>
      <c r="BT25" s="108">
        <f t="shared" si="85"/>
        <v>644.92399999999998</v>
      </c>
      <c r="BU25" s="105">
        <f t="shared" si="86"/>
        <v>366.61</v>
      </c>
      <c r="BV25" s="106">
        <f t="shared" si="19"/>
        <v>72.811000000000007</v>
      </c>
      <c r="BW25" s="107">
        <f t="shared" si="20"/>
        <v>0</v>
      </c>
      <c r="BX25" s="108">
        <f>BH25+BP25</f>
        <v>293.79899999999998</v>
      </c>
      <c r="BY25" s="164">
        <f t="shared" si="104"/>
        <v>0</v>
      </c>
      <c r="BZ25" s="147">
        <v>0.25</v>
      </c>
      <c r="CA25" s="161"/>
      <c r="CB25" s="162">
        <v>-0.25</v>
      </c>
      <c r="CC25" s="164">
        <f t="shared" si="64"/>
        <v>0</v>
      </c>
      <c r="CD25" s="147">
        <v>0.25</v>
      </c>
      <c r="CE25" s="161"/>
      <c r="CF25" s="162">
        <v>-0.25</v>
      </c>
      <c r="CG25" s="105">
        <f t="shared" si="87"/>
        <v>2243.5529999999999</v>
      </c>
      <c r="CH25" s="106">
        <f t="shared" si="22"/>
        <v>1598.8789999999997</v>
      </c>
      <c r="CI25" s="107">
        <f t="shared" si="23"/>
        <v>0</v>
      </c>
      <c r="CJ25" s="108">
        <f t="shared" si="88"/>
        <v>644.67399999999998</v>
      </c>
      <c r="CK25" s="105">
        <f t="shared" si="89"/>
        <v>366.61</v>
      </c>
      <c r="CL25" s="106">
        <f t="shared" si="25"/>
        <v>73.061000000000007</v>
      </c>
      <c r="CM25" s="107">
        <f t="shared" si="26"/>
        <v>0</v>
      </c>
      <c r="CN25" s="108">
        <f>BX25+CF25</f>
        <v>293.54899999999998</v>
      </c>
      <c r="CO25" s="164">
        <f t="shared" si="105"/>
        <v>-1.1999999999999567E-2</v>
      </c>
      <c r="CP25" s="147">
        <f>5.662-0.012+CT25</f>
        <v>5.8900000000000006</v>
      </c>
      <c r="CQ25" s="161"/>
      <c r="CR25" s="162">
        <f>-5.662+CV25</f>
        <v>-5.9020000000000001</v>
      </c>
      <c r="CS25" s="164">
        <f t="shared" si="66"/>
        <v>0</v>
      </c>
      <c r="CT25" s="147">
        <v>0.24</v>
      </c>
      <c r="CU25" s="161"/>
      <c r="CV25" s="162">
        <v>-0.24</v>
      </c>
      <c r="CW25" s="105">
        <f t="shared" si="90"/>
        <v>2243.5409999999997</v>
      </c>
      <c r="CX25" s="106">
        <f t="shared" si="28"/>
        <v>1604.7689999999998</v>
      </c>
      <c r="CY25" s="107">
        <f t="shared" si="29"/>
        <v>0</v>
      </c>
      <c r="CZ25" s="108">
        <f t="shared" si="91"/>
        <v>638.77199999999993</v>
      </c>
      <c r="DA25" s="105">
        <f t="shared" si="92"/>
        <v>366.60999999999996</v>
      </c>
      <c r="DB25" s="106">
        <f t="shared" si="31"/>
        <v>73.301000000000002</v>
      </c>
      <c r="DC25" s="107">
        <f t="shared" si="32"/>
        <v>0</v>
      </c>
      <c r="DD25" s="108">
        <f>CN25+CV25</f>
        <v>293.30899999999997</v>
      </c>
      <c r="DE25" s="164">
        <f t="shared" si="106"/>
        <v>-23.41</v>
      </c>
      <c r="DF25" s="147">
        <f>-14.51-2.2-6.7</f>
        <v>-23.41</v>
      </c>
      <c r="DG25" s="161"/>
      <c r="DH25" s="162"/>
      <c r="DI25" s="164">
        <f t="shared" si="68"/>
        <v>0</v>
      </c>
      <c r="DJ25" s="147"/>
      <c r="DK25" s="161"/>
      <c r="DL25" s="162"/>
      <c r="DM25" s="105">
        <f t="shared" si="93"/>
        <v>2220.1309999999994</v>
      </c>
      <c r="DN25" s="106">
        <f t="shared" si="34"/>
        <v>1581.3589999999997</v>
      </c>
      <c r="DO25" s="107">
        <f t="shared" si="35"/>
        <v>0</v>
      </c>
      <c r="DP25" s="108">
        <f t="shared" si="94"/>
        <v>638.77199999999993</v>
      </c>
      <c r="DQ25" s="105">
        <f t="shared" si="95"/>
        <v>366.60999999999996</v>
      </c>
      <c r="DR25" s="106">
        <f t="shared" si="37"/>
        <v>73.301000000000002</v>
      </c>
      <c r="DS25" s="107">
        <f t="shared" si="38"/>
        <v>0</v>
      </c>
      <c r="DT25" s="108">
        <f>DD25+DL25</f>
        <v>293.30899999999997</v>
      </c>
      <c r="DU25" s="164">
        <f t="shared" si="107"/>
        <v>-6.1729999999999992</v>
      </c>
      <c r="DV25" s="147">
        <f>-0.294-5.879</f>
        <v>-6.1729999999999992</v>
      </c>
      <c r="DW25" s="161"/>
      <c r="DX25" s="162"/>
      <c r="DY25" s="164">
        <f t="shared" si="70"/>
        <v>0</v>
      </c>
      <c r="DZ25" s="147"/>
      <c r="EA25" s="161"/>
      <c r="EB25" s="162"/>
      <c r="EC25" s="105">
        <f t="shared" si="96"/>
        <v>2213.9579999999996</v>
      </c>
      <c r="ED25" s="106">
        <f t="shared" si="108"/>
        <v>1575.1859999999997</v>
      </c>
      <c r="EE25" s="107">
        <f t="shared" si="41"/>
        <v>0</v>
      </c>
      <c r="EF25" s="108">
        <f t="shared" si="97"/>
        <v>638.77199999999993</v>
      </c>
      <c r="EG25" s="105">
        <f t="shared" si="98"/>
        <v>366.60999999999996</v>
      </c>
      <c r="EH25" s="106">
        <f t="shared" si="43"/>
        <v>73.301000000000002</v>
      </c>
      <c r="EI25" s="107">
        <f t="shared" si="44"/>
        <v>0</v>
      </c>
      <c r="EJ25" s="108">
        <f>DT25+EB25</f>
        <v>293.30899999999997</v>
      </c>
      <c r="EK25" s="163">
        <f t="shared" si="0"/>
        <v>17.835000000000491</v>
      </c>
      <c r="EL25" s="163">
        <f t="shared" si="1"/>
        <v>47.772000000000389</v>
      </c>
      <c r="EM25" s="105">
        <f t="shared" si="99"/>
        <v>2261.73</v>
      </c>
      <c r="EN25" s="106">
        <f>ER25+1149+133.65-60</f>
        <v>1278.73</v>
      </c>
      <c r="EO25" s="107"/>
      <c r="EP25" s="108">
        <f>ET25+323.879+61</f>
        <v>983.00000000000011</v>
      </c>
      <c r="EQ25" s="105">
        <f t="shared" si="71"/>
        <v>654.20100000000014</v>
      </c>
      <c r="ER25" s="106">
        <f>51.146+3+1.934</f>
        <v>56.08</v>
      </c>
      <c r="ES25" s="107"/>
      <c r="ET25" s="108">
        <f>346.934+176.121+77-1.934</f>
        <v>598.12100000000009</v>
      </c>
    </row>
    <row r="26" spans="1:150" s="4" customFormat="1" ht="24" customHeight="1" x14ac:dyDescent="0.25">
      <c r="A26" s="142" t="s">
        <v>34</v>
      </c>
      <c r="B26" s="43" t="s">
        <v>46</v>
      </c>
      <c r="C26" s="44" t="s">
        <v>134</v>
      </c>
      <c r="D26" s="139" t="s">
        <v>37</v>
      </c>
      <c r="E26" s="105">
        <f t="shared" si="53"/>
        <v>65.957999999999998</v>
      </c>
      <c r="F26" s="106">
        <f>J26+1.2+1.3</f>
        <v>5.9580000000000002</v>
      </c>
      <c r="G26" s="107"/>
      <c r="H26" s="108">
        <v>60</v>
      </c>
      <c r="I26" s="105">
        <f t="shared" si="54"/>
        <v>3.4580000000000002</v>
      </c>
      <c r="J26" s="106">
        <v>3.4580000000000002</v>
      </c>
      <c r="K26" s="107"/>
      <c r="L26" s="108"/>
      <c r="M26" s="105">
        <f t="shared" si="100"/>
        <v>0</v>
      </c>
      <c r="N26" s="106"/>
      <c r="O26" s="107"/>
      <c r="P26" s="108"/>
      <c r="Q26" s="105">
        <f t="shared" si="56"/>
        <v>0</v>
      </c>
      <c r="R26" s="106"/>
      <c r="S26" s="107"/>
      <c r="T26" s="108"/>
      <c r="U26" s="105">
        <f t="shared" si="72"/>
        <v>65.957999999999998</v>
      </c>
      <c r="V26" s="106">
        <f t="shared" si="73"/>
        <v>5.9580000000000002</v>
      </c>
      <c r="W26" s="107">
        <f t="shared" si="74"/>
        <v>0</v>
      </c>
      <c r="X26" s="108">
        <f t="shared" si="75"/>
        <v>60</v>
      </c>
      <c r="Y26" s="105">
        <f t="shared" si="76"/>
        <v>3.4580000000000002</v>
      </c>
      <c r="Z26" s="106">
        <f t="shared" si="77"/>
        <v>3.4580000000000002</v>
      </c>
      <c r="AA26" s="107">
        <f t="shared" si="78"/>
        <v>0</v>
      </c>
      <c r="AB26" s="108">
        <f t="shared" si="79"/>
        <v>0</v>
      </c>
      <c r="AC26" s="105">
        <f t="shared" si="101"/>
        <v>0</v>
      </c>
      <c r="AD26" s="106"/>
      <c r="AE26" s="107"/>
      <c r="AF26" s="108"/>
      <c r="AG26" s="105">
        <f t="shared" si="58"/>
        <v>0</v>
      </c>
      <c r="AH26" s="106"/>
      <c r="AI26" s="107"/>
      <c r="AJ26" s="108"/>
      <c r="AK26" s="105">
        <f t="shared" si="80"/>
        <v>65.957999999999998</v>
      </c>
      <c r="AL26" s="106">
        <f t="shared" si="4"/>
        <v>5.9580000000000002</v>
      </c>
      <c r="AM26" s="107">
        <f t="shared" si="5"/>
        <v>0</v>
      </c>
      <c r="AN26" s="108">
        <f t="shared" si="6"/>
        <v>60</v>
      </c>
      <c r="AO26" s="105">
        <f t="shared" si="81"/>
        <v>3.4580000000000002</v>
      </c>
      <c r="AP26" s="106">
        <f t="shared" si="7"/>
        <v>3.4580000000000002</v>
      </c>
      <c r="AQ26" s="107">
        <f t="shared" si="8"/>
        <v>0</v>
      </c>
      <c r="AR26" s="108">
        <f t="shared" ref="AR26:AR28" si="109">AB26+AJ26</f>
        <v>0</v>
      </c>
      <c r="AS26" s="105">
        <f t="shared" si="102"/>
        <v>0</v>
      </c>
      <c r="AT26" s="106"/>
      <c r="AU26" s="107"/>
      <c r="AV26" s="108"/>
      <c r="AW26" s="105">
        <f t="shared" si="60"/>
        <v>0</v>
      </c>
      <c r="AX26" s="106"/>
      <c r="AY26" s="107"/>
      <c r="AZ26" s="108"/>
      <c r="BA26" s="105">
        <f t="shared" si="82"/>
        <v>65.957999999999998</v>
      </c>
      <c r="BB26" s="106">
        <f t="shared" si="10"/>
        <v>5.9580000000000002</v>
      </c>
      <c r="BC26" s="107">
        <f t="shared" si="11"/>
        <v>0</v>
      </c>
      <c r="BD26" s="108">
        <f t="shared" si="12"/>
        <v>60</v>
      </c>
      <c r="BE26" s="105">
        <f t="shared" si="83"/>
        <v>3.4580000000000002</v>
      </c>
      <c r="BF26" s="106">
        <f t="shared" si="13"/>
        <v>3.4580000000000002</v>
      </c>
      <c r="BG26" s="107">
        <f t="shared" si="14"/>
        <v>0</v>
      </c>
      <c r="BH26" s="108">
        <f t="shared" ref="BH26:BH28" si="110">AR26+AZ26</f>
        <v>0</v>
      </c>
      <c r="BI26" s="105">
        <f t="shared" si="103"/>
        <v>0</v>
      </c>
      <c r="BJ26" s="106"/>
      <c r="BK26" s="107"/>
      <c r="BL26" s="108"/>
      <c r="BM26" s="105">
        <f t="shared" si="62"/>
        <v>0</v>
      </c>
      <c r="BN26" s="106"/>
      <c r="BO26" s="107"/>
      <c r="BP26" s="108"/>
      <c r="BQ26" s="105">
        <f t="shared" si="84"/>
        <v>65.957999999999998</v>
      </c>
      <c r="BR26" s="106">
        <f t="shared" si="16"/>
        <v>5.9580000000000002</v>
      </c>
      <c r="BS26" s="107">
        <f t="shared" si="17"/>
        <v>0</v>
      </c>
      <c r="BT26" s="108">
        <f t="shared" si="85"/>
        <v>60</v>
      </c>
      <c r="BU26" s="105">
        <f t="shared" si="86"/>
        <v>3.4580000000000002</v>
      </c>
      <c r="BV26" s="106">
        <f t="shared" si="19"/>
        <v>3.4580000000000002</v>
      </c>
      <c r="BW26" s="107">
        <f t="shared" si="20"/>
        <v>0</v>
      </c>
      <c r="BX26" s="108">
        <f t="shared" ref="BX26:BX28" si="111">BH26+BP26</f>
        <v>0</v>
      </c>
      <c r="BY26" s="164">
        <f t="shared" si="104"/>
        <v>0</v>
      </c>
      <c r="BZ26" s="147"/>
      <c r="CA26" s="161"/>
      <c r="CB26" s="162"/>
      <c r="CC26" s="164">
        <f t="shared" si="64"/>
        <v>0</v>
      </c>
      <c r="CD26" s="147"/>
      <c r="CE26" s="161"/>
      <c r="CF26" s="162"/>
      <c r="CG26" s="105">
        <f t="shared" si="87"/>
        <v>65.957999999999998</v>
      </c>
      <c r="CH26" s="106">
        <f t="shared" si="22"/>
        <v>5.9580000000000002</v>
      </c>
      <c r="CI26" s="107">
        <f t="shared" si="23"/>
        <v>0</v>
      </c>
      <c r="CJ26" s="108">
        <f t="shared" si="88"/>
        <v>60</v>
      </c>
      <c r="CK26" s="105">
        <f t="shared" si="89"/>
        <v>3.4580000000000002</v>
      </c>
      <c r="CL26" s="106">
        <f t="shared" si="25"/>
        <v>3.4580000000000002</v>
      </c>
      <c r="CM26" s="107">
        <f t="shared" si="26"/>
        <v>0</v>
      </c>
      <c r="CN26" s="108">
        <f t="shared" ref="CN26:CN28" si="112">BX26+CF26</f>
        <v>0</v>
      </c>
      <c r="CO26" s="164">
        <f t="shared" si="105"/>
        <v>0</v>
      </c>
      <c r="CP26" s="147"/>
      <c r="CQ26" s="161"/>
      <c r="CR26" s="162"/>
      <c r="CS26" s="164">
        <f t="shared" si="66"/>
        <v>0</v>
      </c>
      <c r="CT26" s="147"/>
      <c r="CU26" s="161"/>
      <c r="CV26" s="162"/>
      <c r="CW26" s="105">
        <f t="shared" si="90"/>
        <v>65.957999999999998</v>
      </c>
      <c r="CX26" s="106">
        <f t="shared" si="28"/>
        <v>5.9580000000000002</v>
      </c>
      <c r="CY26" s="107">
        <f t="shared" si="29"/>
        <v>0</v>
      </c>
      <c r="CZ26" s="108">
        <f t="shared" si="91"/>
        <v>60</v>
      </c>
      <c r="DA26" s="105">
        <f t="shared" si="92"/>
        <v>3.4580000000000002</v>
      </c>
      <c r="DB26" s="106">
        <f t="shared" si="31"/>
        <v>3.4580000000000002</v>
      </c>
      <c r="DC26" s="107">
        <f t="shared" si="32"/>
        <v>0</v>
      </c>
      <c r="DD26" s="108">
        <f t="shared" ref="DD26:DD28" si="113">CN26+CV26</f>
        <v>0</v>
      </c>
      <c r="DE26" s="164">
        <f t="shared" si="106"/>
        <v>0</v>
      </c>
      <c r="DF26" s="147"/>
      <c r="DG26" s="161"/>
      <c r="DH26" s="162"/>
      <c r="DI26" s="164">
        <f t="shared" si="68"/>
        <v>0</v>
      </c>
      <c r="DJ26" s="147"/>
      <c r="DK26" s="161"/>
      <c r="DL26" s="162"/>
      <c r="DM26" s="105">
        <f t="shared" si="93"/>
        <v>65.957999999999998</v>
      </c>
      <c r="DN26" s="106">
        <f t="shared" si="34"/>
        <v>5.9580000000000002</v>
      </c>
      <c r="DO26" s="107">
        <f t="shared" si="35"/>
        <v>0</v>
      </c>
      <c r="DP26" s="108">
        <f t="shared" si="94"/>
        <v>60</v>
      </c>
      <c r="DQ26" s="105">
        <f t="shared" si="95"/>
        <v>3.4580000000000002</v>
      </c>
      <c r="DR26" s="106">
        <f t="shared" si="37"/>
        <v>3.4580000000000002</v>
      </c>
      <c r="DS26" s="107">
        <f t="shared" si="38"/>
        <v>0</v>
      </c>
      <c r="DT26" s="108">
        <f t="shared" ref="DT26:DT28" si="114">DD26+DL26</f>
        <v>0</v>
      </c>
      <c r="DU26" s="164">
        <f t="shared" si="107"/>
        <v>0</v>
      </c>
      <c r="DV26" s="147"/>
      <c r="DW26" s="161"/>
      <c r="DX26" s="162"/>
      <c r="DY26" s="164">
        <f t="shared" si="70"/>
        <v>0</v>
      </c>
      <c r="DZ26" s="147"/>
      <c r="EA26" s="161"/>
      <c r="EB26" s="162"/>
      <c r="EC26" s="105">
        <f t="shared" si="96"/>
        <v>65.957999999999998</v>
      </c>
      <c r="ED26" s="106">
        <f t="shared" si="108"/>
        <v>5.9580000000000002</v>
      </c>
      <c r="EE26" s="107">
        <f t="shared" si="41"/>
        <v>0</v>
      </c>
      <c r="EF26" s="108">
        <f t="shared" si="97"/>
        <v>60</v>
      </c>
      <c r="EG26" s="105">
        <f t="shared" si="98"/>
        <v>3.4580000000000002</v>
      </c>
      <c r="EH26" s="106">
        <f t="shared" si="43"/>
        <v>3.4580000000000002</v>
      </c>
      <c r="EI26" s="107">
        <f t="shared" si="44"/>
        <v>0</v>
      </c>
      <c r="EJ26" s="108">
        <f t="shared" ref="EJ26:EJ28" si="115">DT26+EB26</f>
        <v>0</v>
      </c>
      <c r="EK26" s="154">
        <f t="shared" si="0"/>
        <v>113.65899999999999</v>
      </c>
      <c r="EL26" s="154">
        <f t="shared" si="1"/>
        <v>113.65899999999999</v>
      </c>
      <c r="EM26" s="105">
        <f t="shared" si="99"/>
        <v>179.61699999999999</v>
      </c>
      <c r="EN26" s="106">
        <v>1.84</v>
      </c>
      <c r="EO26" s="107"/>
      <c r="EP26" s="108">
        <f>ET26+90</f>
        <v>177.77699999999999</v>
      </c>
      <c r="EQ26" s="105">
        <f t="shared" si="71"/>
        <v>87.777000000000001</v>
      </c>
      <c r="ER26" s="106"/>
      <c r="ES26" s="107"/>
      <c r="ET26" s="108">
        <f>27.777+60</f>
        <v>87.777000000000001</v>
      </c>
    </row>
    <row r="27" spans="1:150" s="4" customFormat="1" ht="24.75" customHeight="1" x14ac:dyDescent="0.25">
      <c r="A27" s="141" t="s">
        <v>33</v>
      </c>
      <c r="B27" s="140" t="s">
        <v>47</v>
      </c>
      <c r="C27" s="34" t="s">
        <v>135</v>
      </c>
      <c r="D27" s="139" t="s">
        <v>37</v>
      </c>
      <c r="E27" s="105">
        <f t="shared" si="53"/>
        <v>2528.6809999999996</v>
      </c>
      <c r="F27" s="106">
        <f>J27+1003.8+0.71+896.86+218+30+173.2+1+7+90</f>
        <v>2433.5409999999997</v>
      </c>
      <c r="G27" s="107">
        <f>810.09+0.54+43.5-5.54</f>
        <v>848.59</v>
      </c>
      <c r="H27" s="108">
        <f>L27+16.4+25.74+20+3</f>
        <v>95.14</v>
      </c>
      <c r="I27" s="105">
        <f t="shared" si="54"/>
        <v>42.971000000000004</v>
      </c>
      <c r="J27" s="106">
        <v>12.971</v>
      </c>
      <c r="K27" s="107"/>
      <c r="L27" s="108">
        <v>30</v>
      </c>
      <c r="M27" s="105">
        <f t="shared" si="100"/>
        <v>0</v>
      </c>
      <c r="N27" s="106"/>
      <c r="O27" s="107"/>
      <c r="P27" s="108"/>
      <c r="Q27" s="105">
        <f t="shared" si="56"/>
        <v>0</v>
      </c>
      <c r="R27" s="106"/>
      <c r="S27" s="107"/>
      <c r="T27" s="108"/>
      <c r="U27" s="105">
        <f t="shared" si="72"/>
        <v>2528.6809999999996</v>
      </c>
      <c r="V27" s="106">
        <f t="shared" si="73"/>
        <v>2433.5409999999997</v>
      </c>
      <c r="W27" s="107">
        <f t="shared" si="74"/>
        <v>848.59</v>
      </c>
      <c r="X27" s="108">
        <f t="shared" si="75"/>
        <v>95.14</v>
      </c>
      <c r="Y27" s="105">
        <f t="shared" si="76"/>
        <v>42.971000000000004</v>
      </c>
      <c r="Z27" s="106">
        <f t="shared" si="77"/>
        <v>12.971</v>
      </c>
      <c r="AA27" s="107">
        <f t="shared" si="78"/>
        <v>0</v>
      </c>
      <c r="AB27" s="108">
        <f t="shared" si="79"/>
        <v>30</v>
      </c>
      <c r="AC27" s="105">
        <f t="shared" si="101"/>
        <v>0</v>
      </c>
      <c r="AD27" s="106"/>
      <c r="AE27" s="107"/>
      <c r="AF27" s="108"/>
      <c r="AG27" s="105">
        <f t="shared" si="58"/>
        <v>0</v>
      </c>
      <c r="AH27" s="106"/>
      <c r="AI27" s="107"/>
      <c r="AJ27" s="108"/>
      <c r="AK27" s="105">
        <f t="shared" si="80"/>
        <v>2528.6809999999996</v>
      </c>
      <c r="AL27" s="106">
        <f t="shared" si="4"/>
        <v>2433.5409999999997</v>
      </c>
      <c r="AM27" s="107">
        <f t="shared" si="5"/>
        <v>848.59</v>
      </c>
      <c r="AN27" s="108">
        <f t="shared" si="6"/>
        <v>95.14</v>
      </c>
      <c r="AO27" s="105">
        <f t="shared" si="81"/>
        <v>42.971000000000004</v>
      </c>
      <c r="AP27" s="106">
        <f t="shared" si="7"/>
        <v>12.971</v>
      </c>
      <c r="AQ27" s="107">
        <f t="shared" si="8"/>
        <v>0</v>
      </c>
      <c r="AR27" s="108">
        <f t="shared" si="109"/>
        <v>30</v>
      </c>
      <c r="AS27" s="105">
        <f t="shared" si="102"/>
        <v>0</v>
      </c>
      <c r="AT27" s="147"/>
      <c r="AU27" s="161">
        <v>-0.95</v>
      </c>
      <c r="AV27" s="162"/>
      <c r="AW27" s="105">
        <f t="shared" si="60"/>
        <v>0</v>
      </c>
      <c r="AX27" s="106"/>
      <c r="AY27" s="107"/>
      <c r="AZ27" s="108"/>
      <c r="BA27" s="105">
        <f t="shared" si="82"/>
        <v>2528.6809999999996</v>
      </c>
      <c r="BB27" s="106">
        <f t="shared" si="10"/>
        <v>2433.5409999999997</v>
      </c>
      <c r="BC27" s="107">
        <f t="shared" si="11"/>
        <v>847.64</v>
      </c>
      <c r="BD27" s="108">
        <f t="shared" si="12"/>
        <v>95.14</v>
      </c>
      <c r="BE27" s="105">
        <f t="shared" si="83"/>
        <v>42.971000000000004</v>
      </c>
      <c r="BF27" s="106">
        <f t="shared" si="13"/>
        <v>12.971</v>
      </c>
      <c r="BG27" s="107">
        <f t="shared" si="14"/>
        <v>0</v>
      </c>
      <c r="BH27" s="108">
        <f t="shared" si="110"/>
        <v>30</v>
      </c>
      <c r="BI27" s="105">
        <f t="shared" si="103"/>
        <v>0</v>
      </c>
      <c r="BJ27" s="147"/>
      <c r="BK27" s="161"/>
      <c r="BL27" s="162"/>
      <c r="BM27" s="105">
        <f t="shared" si="62"/>
        <v>0</v>
      </c>
      <c r="BN27" s="106"/>
      <c r="BO27" s="107"/>
      <c r="BP27" s="108"/>
      <c r="BQ27" s="105">
        <f t="shared" si="84"/>
        <v>2528.6809999999996</v>
      </c>
      <c r="BR27" s="106">
        <f t="shared" si="16"/>
        <v>2433.5409999999997</v>
      </c>
      <c r="BS27" s="107">
        <f t="shared" si="17"/>
        <v>847.64</v>
      </c>
      <c r="BT27" s="108">
        <f t="shared" si="85"/>
        <v>95.14</v>
      </c>
      <c r="BU27" s="105">
        <f t="shared" si="86"/>
        <v>42.971000000000004</v>
      </c>
      <c r="BV27" s="106">
        <f t="shared" si="19"/>
        <v>12.971</v>
      </c>
      <c r="BW27" s="107">
        <f t="shared" si="20"/>
        <v>0</v>
      </c>
      <c r="BX27" s="108">
        <f t="shared" si="111"/>
        <v>30</v>
      </c>
      <c r="BY27" s="164">
        <f t="shared" si="104"/>
        <v>0</v>
      </c>
      <c r="BZ27" s="147"/>
      <c r="CA27" s="161">
        <v>-0.41399999999999998</v>
      </c>
      <c r="CB27" s="162"/>
      <c r="CC27" s="164">
        <f t="shared" si="64"/>
        <v>0</v>
      </c>
      <c r="CD27" s="147"/>
      <c r="CE27" s="161"/>
      <c r="CF27" s="162"/>
      <c r="CG27" s="105">
        <f t="shared" si="87"/>
        <v>2528.6809999999996</v>
      </c>
      <c r="CH27" s="106">
        <f t="shared" si="22"/>
        <v>2433.5409999999997</v>
      </c>
      <c r="CI27" s="107">
        <f t="shared" si="23"/>
        <v>847.226</v>
      </c>
      <c r="CJ27" s="108">
        <f t="shared" si="88"/>
        <v>95.14</v>
      </c>
      <c r="CK27" s="105">
        <f t="shared" si="89"/>
        <v>42.971000000000004</v>
      </c>
      <c r="CL27" s="106">
        <f t="shared" si="25"/>
        <v>12.971</v>
      </c>
      <c r="CM27" s="107">
        <f t="shared" si="26"/>
        <v>0</v>
      </c>
      <c r="CN27" s="108">
        <f t="shared" si="112"/>
        <v>30</v>
      </c>
      <c r="CO27" s="164">
        <f t="shared" si="105"/>
        <v>0</v>
      </c>
      <c r="CP27" s="147">
        <v>-1.3759999999999999</v>
      </c>
      <c r="CQ27" s="161"/>
      <c r="CR27" s="162">
        <v>1.3759999999999999</v>
      </c>
      <c r="CS27" s="164">
        <f t="shared" si="66"/>
        <v>0</v>
      </c>
      <c r="CT27" s="147"/>
      <c r="CU27" s="161"/>
      <c r="CV27" s="162"/>
      <c r="CW27" s="105">
        <f t="shared" si="90"/>
        <v>2528.6809999999996</v>
      </c>
      <c r="CX27" s="106">
        <f t="shared" si="28"/>
        <v>2432.1649999999995</v>
      </c>
      <c r="CY27" s="107">
        <f t="shared" si="29"/>
        <v>847.226</v>
      </c>
      <c r="CZ27" s="108">
        <f t="shared" si="91"/>
        <v>96.516000000000005</v>
      </c>
      <c r="DA27" s="105">
        <f t="shared" si="92"/>
        <v>42.971000000000004</v>
      </c>
      <c r="DB27" s="106">
        <f t="shared" si="31"/>
        <v>12.971</v>
      </c>
      <c r="DC27" s="107">
        <f t="shared" si="32"/>
        <v>0</v>
      </c>
      <c r="DD27" s="108">
        <f t="shared" si="113"/>
        <v>30</v>
      </c>
      <c r="DE27" s="164">
        <f t="shared" si="106"/>
        <v>0</v>
      </c>
      <c r="DF27" s="147"/>
      <c r="DG27" s="161"/>
      <c r="DH27" s="162"/>
      <c r="DI27" s="164">
        <f t="shared" si="68"/>
        <v>0</v>
      </c>
      <c r="DJ27" s="147"/>
      <c r="DK27" s="161"/>
      <c r="DL27" s="162"/>
      <c r="DM27" s="105">
        <f t="shared" si="93"/>
        <v>2528.6809999999996</v>
      </c>
      <c r="DN27" s="106">
        <f t="shared" si="34"/>
        <v>2432.1649999999995</v>
      </c>
      <c r="DO27" s="107">
        <f t="shared" si="35"/>
        <v>847.226</v>
      </c>
      <c r="DP27" s="108">
        <f t="shared" si="94"/>
        <v>96.516000000000005</v>
      </c>
      <c r="DQ27" s="105">
        <f t="shared" si="95"/>
        <v>42.971000000000004</v>
      </c>
      <c r="DR27" s="106">
        <f t="shared" si="37"/>
        <v>12.971</v>
      </c>
      <c r="DS27" s="107">
        <f t="shared" si="38"/>
        <v>0</v>
      </c>
      <c r="DT27" s="108">
        <f t="shared" si="114"/>
        <v>30</v>
      </c>
      <c r="DU27" s="164">
        <f t="shared" si="107"/>
        <v>1.2789999999999999</v>
      </c>
      <c r="DV27" s="147">
        <f>1.279+23.4</f>
        <v>24.678999999999998</v>
      </c>
      <c r="DW27" s="161">
        <f>-3.318-2.22</f>
        <v>-5.5380000000000003</v>
      </c>
      <c r="DX27" s="162">
        <v>-23.4</v>
      </c>
      <c r="DY27" s="164">
        <f t="shared" si="70"/>
        <v>0</v>
      </c>
      <c r="DZ27" s="147"/>
      <c r="EA27" s="161"/>
      <c r="EB27" s="162"/>
      <c r="EC27" s="105">
        <f t="shared" si="96"/>
        <v>2529.9599999999996</v>
      </c>
      <c r="ED27" s="106">
        <f t="shared" si="108"/>
        <v>2456.8439999999996</v>
      </c>
      <c r="EE27" s="107">
        <f t="shared" si="41"/>
        <v>841.68799999999999</v>
      </c>
      <c r="EF27" s="108">
        <f t="shared" si="97"/>
        <v>73.116000000000014</v>
      </c>
      <c r="EG27" s="105">
        <f t="shared" si="98"/>
        <v>42.971000000000004</v>
      </c>
      <c r="EH27" s="106">
        <f t="shared" si="43"/>
        <v>12.971</v>
      </c>
      <c r="EI27" s="107">
        <f t="shared" si="44"/>
        <v>0</v>
      </c>
      <c r="EJ27" s="108">
        <f t="shared" si="115"/>
        <v>30</v>
      </c>
      <c r="EK27" s="163">
        <f t="shared" si="0"/>
        <v>140.78600000000051</v>
      </c>
      <c r="EL27" s="163">
        <f t="shared" si="1"/>
        <v>139.50700000000052</v>
      </c>
      <c r="EM27" s="105">
        <f t="shared" si="99"/>
        <v>2669.4670000000001</v>
      </c>
      <c r="EN27" s="106">
        <f>ER27+2056.13+210+43.9+122.7+111+10</f>
        <v>2561.8789999999999</v>
      </c>
      <c r="EO27" s="107">
        <f>ES27+929.86-8.45</f>
        <v>921.947</v>
      </c>
      <c r="EP27" s="108">
        <f>ET27+7+10</f>
        <v>107.58799999999999</v>
      </c>
      <c r="EQ27" s="105">
        <f t="shared" si="71"/>
        <v>98.736999999999995</v>
      </c>
      <c r="ER27" s="106">
        <v>8.1489999999999991</v>
      </c>
      <c r="ES27" s="107">
        <v>0.53700000000000003</v>
      </c>
      <c r="ET27" s="108">
        <v>90.587999999999994</v>
      </c>
    </row>
    <row r="28" spans="1:150" s="4" customFormat="1" ht="24.75" customHeight="1" x14ac:dyDescent="0.25">
      <c r="A28" s="141" t="s">
        <v>41</v>
      </c>
      <c r="B28" s="140" t="s">
        <v>48</v>
      </c>
      <c r="C28" s="34" t="s">
        <v>136</v>
      </c>
      <c r="D28" s="139" t="s">
        <v>37</v>
      </c>
      <c r="E28" s="105">
        <f t="shared" si="53"/>
        <v>817.91799999999989</v>
      </c>
      <c r="F28" s="106">
        <f>J28+5+11.5+1.2+20+8+4+21.7</f>
        <v>99.79</v>
      </c>
      <c r="G28" s="107">
        <f>K28</f>
        <v>2.6</v>
      </c>
      <c r="H28" s="108">
        <f>L28+10+0.999+1.5+10</f>
        <v>718.12799999999993</v>
      </c>
      <c r="I28" s="105">
        <f t="shared" si="54"/>
        <v>724.01899999999989</v>
      </c>
      <c r="J28" s="106">
        <f>25+3.39</f>
        <v>28.39</v>
      </c>
      <c r="K28" s="107">
        <v>2.6</v>
      </c>
      <c r="L28" s="108">
        <f>53.511+310+168.5+7.617+6.001+150</f>
        <v>695.62899999999991</v>
      </c>
      <c r="M28" s="105">
        <f t="shared" si="100"/>
        <v>0</v>
      </c>
      <c r="N28" s="106"/>
      <c r="O28" s="107"/>
      <c r="P28" s="108"/>
      <c r="Q28" s="105">
        <f t="shared" si="56"/>
        <v>0</v>
      </c>
      <c r="R28" s="106"/>
      <c r="S28" s="107"/>
      <c r="T28" s="108"/>
      <c r="U28" s="105">
        <f t="shared" si="72"/>
        <v>817.91799999999989</v>
      </c>
      <c r="V28" s="106">
        <f t="shared" si="73"/>
        <v>99.79</v>
      </c>
      <c r="W28" s="107">
        <f t="shared" si="74"/>
        <v>2.6</v>
      </c>
      <c r="X28" s="108">
        <f t="shared" si="75"/>
        <v>718.12799999999993</v>
      </c>
      <c r="Y28" s="105">
        <f t="shared" si="76"/>
        <v>724.01899999999989</v>
      </c>
      <c r="Z28" s="106">
        <f>J28+R28</f>
        <v>28.39</v>
      </c>
      <c r="AA28" s="107">
        <f t="shared" si="78"/>
        <v>2.6</v>
      </c>
      <c r="AB28" s="108">
        <f t="shared" si="79"/>
        <v>695.62899999999991</v>
      </c>
      <c r="AC28" s="105">
        <f t="shared" si="101"/>
        <v>0</v>
      </c>
      <c r="AD28" s="106"/>
      <c r="AE28" s="107"/>
      <c r="AF28" s="108"/>
      <c r="AG28" s="105">
        <f t="shared" si="58"/>
        <v>0</v>
      </c>
      <c r="AH28" s="106"/>
      <c r="AI28" s="107"/>
      <c r="AJ28" s="108"/>
      <c r="AK28" s="105">
        <f t="shared" si="80"/>
        <v>817.91799999999989</v>
      </c>
      <c r="AL28" s="106">
        <f t="shared" si="4"/>
        <v>99.79</v>
      </c>
      <c r="AM28" s="107">
        <f t="shared" si="5"/>
        <v>2.6</v>
      </c>
      <c r="AN28" s="108">
        <f t="shared" si="6"/>
        <v>718.12799999999993</v>
      </c>
      <c r="AO28" s="105">
        <f t="shared" si="81"/>
        <v>724.01899999999989</v>
      </c>
      <c r="AP28" s="106">
        <f>Z28+AH28</f>
        <v>28.39</v>
      </c>
      <c r="AQ28" s="107">
        <f t="shared" si="8"/>
        <v>2.6</v>
      </c>
      <c r="AR28" s="108">
        <f t="shared" si="109"/>
        <v>695.62899999999991</v>
      </c>
      <c r="AS28" s="105">
        <f t="shared" si="102"/>
        <v>0</v>
      </c>
      <c r="AT28" s="106">
        <v>6.41</v>
      </c>
      <c r="AU28" s="107"/>
      <c r="AV28" s="108">
        <v>-6.41</v>
      </c>
      <c r="AW28" s="105">
        <f t="shared" si="60"/>
        <v>0</v>
      </c>
      <c r="AX28" s="106">
        <v>6.41</v>
      </c>
      <c r="AY28" s="107"/>
      <c r="AZ28" s="108">
        <v>-6.41</v>
      </c>
      <c r="BA28" s="105">
        <f t="shared" si="82"/>
        <v>817.91800000000001</v>
      </c>
      <c r="BB28" s="106">
        <f t="shared" si="10"/>
        <v>106.2</v>
      </c>
      <c r="BC28" s="107">
        <f t="shared" si="11"/>
        <v>2.6</v>
      </c>
      <c r="BD28" s="108">
        <f t="shared" si="12"/>
        <v>711.71799999999996</v>
      </c>
      <c r="BE28" s="105">
        <f t="shared" si="83"/>
        <v>724.01899999999989</v>
      </c>
      <c r="BF28" s="106">
        <f>AP28+AX28</f>
        <v>34.799999999999997</v>
      </c>
      <c r="BG28" s="107">
        <f t="shared" si="14"/>
        <v>2.6</v>
      </c>
      <c r="BH28" s="108">
        <f t="shared" si="110"/>
        <v>689.21899999999994</v>
      </c>
      <c r="BI28" s="105">
        <f t="shared" si="103"/>
        <v>0</v>
      </c>
      <c r="BJ28" s="106"/>
      <c r="BK28" s="107"/>
      <c r="BL28" s="108"/>
      <c r="BM28" s="105">
        <f t="shared" si="62"/>
        <v>0</v>
      </c>
      <c r="BN28" s="106"/>
      <c r="BO28" s="107"/>
      <c r="BP28" s="108"/>
      <c r="BQ28" s="105">
        <f t="shared" si="84"/>
        <v>817.91800000000001</v>
      </c>
      <c r="BR28" s="106">
        <f t="shared" si="16"/>
        <v>106.2</v>
      </c>
      <c r="BS28" s="107">
        <f t="shared" si="17"/>
        <v>2.6</v>
      </c>
      <c r="BT28" s="108">
        <f t="shared" si="85"/>
        <v>711.71799999999996</v>
      </c>
      <c r="BU28" s="105">
        <f t="shared" si="86"/>
        <v>724.01899999999989</v>
      </c>
      <c r="BV28" s="106">
        <f>BF28+BN28</f>
        <v>34.799999999999997</v>
      </c>
      <c r="BW28" s="107">
        <f t="shared" si="20"/>
        <v>2.6</v>
      </c>
      <c r="BX28" s="108">
        <f t="shared" si="111"/>
        <v>689.21899999999994</v>
      </c>
      <c r="BY28" s="164">
        <f t="shared" si="104"/>
        <v>0</v>
      </c>
      <c r="BZ28" s="147">
        <v>-1</v>
      </c>
      <c r="CA28" s="161"/>
      <c r="CB28" s="162">
        <v>1</v>
      </c>
      <c r="CC28" s="164">
        <f t="shared" si="64"/>
        <v>0</v>
      </c>
      <c r="CD28" s="147"/>
      <c r="CE28" s="161"/>
      <c r="CF28" s="162"/>
      <c r="CG28" s="105">
        <f t="shared" si="87"/>
        <v>817.91800000000001</v>
      </c>
      <c r="CH28" s="106">
        <f t="shared" si="22"/>
        <v>105.2</v>
      </c>
      <c r="CI28" s="107">
        <f t="shared" si="23"/>
        <v>2.6</v>
      </c>
      <c r="CJ28" s="108">
        <f t="shared" si="88"/>
        <v>712.71799999999996</v>
      </c>
      <c r="CK28" s="105">
        <f t="shared" si="89"/>
        <v>724.01899999999989</v>
      </c>
      <c r="CL28" s="106">
        <f>BV28+CD28</f>
        <v>34.799999999999997</v>
      </c>
      <c r="CM28" s="107">
        <f t="shared" si="26"/>
        <v>2.6</v>
      </c>
      <c r="CN28" s="108">
        <f t="shared" si="112"/>
        <v>689.21899999999994</v>
      </c>
      <c r="CO28" s="164">
        <f t="shared" si="105"/>
        <v>0</v>
      </c>
      <c r="CP28" s="147">
        <f>CT28</f>
        <v>5.1929999999999996</v>
      </c>
      <c r="CQ28" s="161"/>
      <c r="CR28" s="162">
        <f>CV28</f>
        <v>-5.1929999999999996</v>
      </c>
      <c r="CS28" s="164">
        <f t="shared" si="66"/>
        <v>0</v>
      </c>
      <c r="CT28" s="147">
        <v>5.1929999999999996</v>
      </c>
      <c r="CU28" s="161"/>
      <c r="CV28" s="162">
        <v>-5.1929999999999996</v>
      </c>
      <c r="CW28" s="105">
        <f t="shared" si="90"/>
        <v>817.91800000000001</v>
      </c>
      <c r="CX28" s="106">
        <f t="shared" si="28"/>
        <v>110.393</v>
      </c>
      <c r="CY28" s="107">
        <f t="shared" si="29"/>
        <v>2.6</v>
      </c>
      <c r="CZ28" s="108">
        <f t="shared" si="91"/>
        <v>707.52499999999998</v>
      </c>
      <c r="DA28" s="105">
        <f t="shared" si="92"/>
        <v>724.01900000000001</v>
      </c>
      <c r="DB28" s="106">
        <f>CL28+CT28</f>
        <v>39.992999999999995</v>
      </c>
      <c r="DC28" s="107">
        <f t="shared" si="32"/>
        <v>2.6</v>
      </c>
      <c r="DD28" s="108">
        <f t="shared" si="113"/>
        <v>684.02599999999995</v>
      </c>
      <c r="DE28" s="164">
        <f t="shared" si="106"/>
        <v>0</v>
      </c>
      <c r="DF28" s="147"/>
      <c r="DG28" s="161"/>
      <c r="DH28" s="162"/>
      <c r="DI28" s="164">
        <f t="shared" si="68"/>
        <v>0</v>
      </c>
      <c r="DJ28" s="147"/>
      <c r="DK28" s="161"/>
      <c r="DL28" s="162"/>
      <c r="DM28" s="105">
        <f t="shared" si="93"/>
        <v>817.91800000000001</v>
      </c>
      <c r="DN28" s="106">
        <f t="shared" si="34"/>
        <v>110.393</v>
      </c>
      <c r="DO28" s="107">
        <f t="shared" si="35"/>
        <v>2.6</v>
      </c>
      <c r="DP28" s="108">
        <f t="shared" si="94"/>
        <v>707.52499999999998</v>
      </c>
      <c r="DQ28" s="105">
        <f t="shared" si="95"/>
        <v>724.01900000000001</v>
      </c>
      <c r="DR28" s="106">
        <f>DB28+DJ28</f>
        <v>39.992999999999995</v>
      </c>
      <c r="DS28" s="107">
        <f t="shared" si="38"/>
        <v>2.6</v>
      </c>
      <c r="DT28" s="108">
        <f t="shared" si="114"/>
        <v>684.02599999999995</v>
      </c>
      <c r="DU28" s="164">
        <f t="shared" si="107"/>
        <v>0</v>
      </c>
      <c r="DV28" s="147"/>
      <c r="DW28" s="161"/>
      <c r="DX28" s="162"/>
      <c r="DY28" s="164">
        <f t="shared" si="70"/>
        <v>0</v>
      </c>
      <c r="DZ28" s="147"/>
      <c r="EA28" s="161"/>
      <c r="EB28" s="162"/>
      <c r="EC28" s="105">
        <f t="shared" si="96"/>
        <v>817.91800000000001</v>
      </c>
      <c r="ED28" s="106">
        <f t="shared" si="108"/>
        <v>110.393</v>
      </c>
      <c r="EE28" s="107">
        <f t="shared" si="41"/>
        <v>2.6</v>
      </c>
      <c r="EF28" s="108">
        <f t="shared" si="97"/>
        <v>707.52499999999998</v>
      </c>
      <c r="EG28" s="105">
        <f t="shared" si="98"/>
        <v>724.01900000000001</v>
      </c>
      <c r="EH28" s="106">
        <f>DR28+DZ28</f>
        <v>39.992999999999995</v>
      </c>
      <c r="EI28" s="107">
        <f t="shared" si="44"/>
        <v>2.6</v>
      </c>
      <c r="EJ28" s="108">
        <f t="shared" si="115"/>
        <v>684.02599999999995</v>
      </c>
      <c r="EK28" s="163">
        <f t="shared" si="0"/>
        <v>595.03900000000021</v>
      </c>
      <c r="EL28" s="163">
        <f t="shared" si="1"/>
        <v>595.0390000000001</v>
      </c>
      <c r="EM28" s="105">
        <f t="shared" si="99"/>
        <v>1412.9570000000001</v>
      </c>
      <c r="EN28" s="106">
        <f>ER28+115.2+35</f>
        <v>199.34300000000002</v>
      </c>
      <c r="EO28" s="107">
        <f>ES28</f>
        <v>1</v>
      </c>
      <c r="EP28" s="108">
        <f>115+ET28+25-10</f>
        <v>1213.614</v>
      </c>
      <c r="EQ28" s="105">
        <f>SUM(ER28,ET28)</f>
        <v>1132.7570000000001</v>
      </c>
      <c r="ER28" s="106">
        <f>6.105+16+5.788+21.25</f>
        <v>49.143000000000001</v>
      </c>
      <c r="ES28" s="107">
        <v>1</v>
      </c>
      <c r="ET28" s="108">
        <v>1083.614</v>
      </c>
    </row>
    <row r="29" spans="1:150" s="4" customFormat="1" ht="14.25" customHeight="1" x14ac:dyDescent="0.25">
      <c r="A29" s="141"/>
      <c r="B29" s="43" t="s">
        <v>2</v>
      </c>
      <c r="C29" s="34"/>
      <c r="D29" s="139"/>
      <c r="E29" s="105"/>
      <c r="F29" s="106"/>
      <c r="G29" s="107"/>
      <c r="H29" s="108"/>
      <c r="I29" s="105"/>
      <c r="J29" s="106"/>
      <c r="K29" s="107"/>
      <c r="L29" s="108"/>
      <c r="M29" s="105"/>
      <c r="N29" s="106"/>
      <c r="O29" s="107"/>
      <c r="P29" s="108"/>
      <c r="Q29" s="105"/>
      <c r="R29" s="106"/>
      <c r="S29" s="107"/>
      <c r="T29" s="108"/>
      <c r="U29" s="105"/>
      <c r="V29" s="106"/>
      <c r="W29" s="107"/>
      <c r="X29" s="108"/>
      <c r="Y29" s="105"/>
      <c r="Z29" s="106"/>
      <c r="AA29" s="107"/>
      <c r="AB29" s="108"/>
      <c r="AC29" s="105"/>
      <c r="AD29" s="106"/>
      <c r="AE29" s="107"/>
      <c r="AF29" s="108"/>
      <c r="AG29" s="105"/>
      <c r="AH29" s="106"/>
      <c r="AI29" s="107"/>
      <c r="AJ29" s="108"/>
      <c r="AK29" s="105"/>
      <c r="AL29" s="106"/>
      <c r="AM29" s="107"/>
      <c r="AN29" s="108"/>
      <c r="AO29" s="105"/>
      <c r="AP29" s="106"/>
      <c r="AQ29" s="107"/>
      <c r="AR29" s="108"/>
      <c r="AS29" s="105"/>
      <c r="AT29" s="106"/>
      <c r="AU29" s="107"/>
      <c r="AV29" s="108"/>
      <c r="AW29" s="105"/>
      <c r="AX29" s="106"/>
      <c r="AY29" s="107"/>
      <c r="AZ29" s="108"/>
      <c r="BA29" s="105"/>
      <c r="BB29" s="106"/>
      <c r="BC29" s="107"/>
      <c r="BD29" s="108"/>
      <c r="BE29" s="105"/>
      <c r="BF29" s="106"/>
      <c r="BG29" s="107"/>
      <c r="BH29" s="108"/>
      <c r="BI29" s="105"/>
      <c r="BJ29" s="106"/>
      <c r="BK29" s="107"/>
      <c r="BL29" s="108"/>
      <c r="BM29" s="105"/>
      <c r="BN29" s="106"/>
      <c r="BO29" s="107"/>
      <c r="BP29" s="108"/>
      <c r="BQ29" s="105"/>
      <c r="BR29" s="106"/>
      <c r="BS29" s="107"/>
      <c r="BT29" s="108"/>
      <c r="BU29" s="105"/>
      <c r="BV29" s="106"/>
      <c r="BW29" s="107"/>
      <c r="BX29" s="108"/>
      <c r="BY29" s="164"/>
      <c r="BZ29" s="147"/>
      <c r="CA29" s="161"/>
      <c r="CB29" s="162"/>
      <c r="CC29" s="164"/>
      <c r="CD29" s="147"/>
      <c r="CE29" s="161"/>
      <c r="CF29" s="162"/>
      <c r="CG29" s="105"/>
      <c r="CH29" s="106"/>
      <c r="CI29" s="107"/>
      <c r="CJ29" s="108"/>
      <c r="CK29" s="105"/>
      <c r="CL29" s="106"/>
      <c r="CM29" s="107"/>
      <c r="CN29" s="108"/>
      <c r="CO29" s="164"/>
      <c r="CP29" s="147"/>
      <c r="CQ29" s="161"/>
      <c r="CR29" s="162"/>
      <c r="CS29" s="164"/>
      <c r="CT29" s="147"/>
      <c r="CU29" s="161"/>
      <c r="CV29" s="162"/>
      <c r="CW29" s="105"/>
      <c r="CX29" s="106"/>
      <c r="CY29" s="107"/>
      <c r="CZ29" s="108"/>
      <c r="DA29" s="105"/>
      <c r="DB29" s="106"/>
      <c r="DC29" s="107"/>
      <c r="DD29" s="108"/>
      <c r="DE29" s="164"/>
      <c r="DF29" s="147"/>
      <c r="DG29" s="161"/>
      <c r="DH29" s="162"/>
      <c r="DI29" s="164"/>
      <c r="DJ29" s="147"/>
      <c r="DK29" s="161"/>
      <c r="DL29" s="162"/>
      <c r="DM29" s="105"/>
      <c r="DN29" s="106"/>
      <c r="DO29" s="107"/>
      <c r="DP29" s="108"/>
      <c r="DQ29" s="105"/>
      <c r="DR29" s="106"/>
      <c r="DS29" s="107"/>
      <c r="DT29" s="108"/>
      <c r="DU29" s="164"/>
      <c r="DV29" s="147"/>
      <c r="DW29" s="161"/>
      <c r="DX29" s="162"/>
      <c r="DY29" s="164"/>
      <c r="DZ29" s="147"/>
      <c r="EA29" s="161"/>
      <c r="EB29" s="162"/>
      <c r="EC29" s="105"/>
      <c r="ED29" s="106"/>
      <c r="EE29" s="107"/>
      <c r="EF29" s="108"/>
      <c r="EG29" s="105"/>
      <c r="EH29" s="106"/>
      <c r="EI29" s="107"/>
      <c r="EJ29" s="108"/>
      <c r="EK29" s="153">
        <f t="shared" si="0"/>
        <v>0</v>
      </c>
      <c r="EL29" s="153">
        <f t="shared" si="1"/>
        <v>0</v>
      </c>
      <c r="EM29" s="105"/>
      <c r="EN29" s="106"/>
      <c r="EO29" s="107"/>
      <c r="EP29" s="108"/>
      <c r="EQ29" s="105"/>
      <c r="ER29" s="106"/>
      <c r="ES29" s="107"/>
      <c r="ET29" s="108"/>
    </row>
    <row r="30" spans="1:150" s="4" customFormat="1" ht="17.25" customHeight="1" x14ac:dyDescent="0.25">
      <c r="A30" s="141"/>
      <c r="B30" s="136" t="s">
        <v>226</v>
      </c>
      <c r="C30" s="34"/>
      <c r="D30" s="139"/>
      <c r="E30" s="105"/>
      <c r="F30" s="106"/>
      <c r="G30" s="107"/>
      <c r="H30" s="108"/>
      <c r="I30" s="105"/>
      <c r="J30" s="106"/>
      <c r="K30" s="107"/>
      <c r="L30" s="108"/>
      <c r="M30" s="105"/>
      <c r="N30" s="106"/>
      <c r="O30" s="107"/>
      <c r="P30" s="108"/>
      <c r="Q30" s="105"/>
      <c r="R30" s="106"/>
      <c r="S30" s="107"/>
      <c r="T30" s="108"/>
      <c r="U30" s="105"/>
      <c r="V30" s="106"/>
      <c r="W30" s="107"/>
      <c r="X30" s="108"/>
      <c r="Y30" s="105"/>
      <c r="Z30" s="106"/>
      <c r="AA30" s="107"/>
      <c r="AB30" s="108"/>
      <c r="AC30" s="105"/>
      <c r="AD30" s="106"/>
      <c r="AE30" s="107"/>
      <c r="AF30" s="108"/>
      <c r="AG30" s="105"/>
      <c r="AH30" s="106"/>
      <c r="AI30" s="107"/>
      <c r="AJ30" s="108"/>
      <c r="AK30" s="105"/>
      <c r="AL30" s="106"/>
      <c r="AM30" s="107"/>
      <c r="AN30" s="108"/>
      <c r="AO30" s="105"/>
      <c r="AP30" s="106"/>
      <c r="AQ30" s="107"/>
      <c r="AR30" s="108"/>
      <c r="AS30" s="105"/>
      <c r="AT30" s="106"/>
      <c r="AU30" s="107"/>
      <c r="AV30" s="108"/>
      <c r="AW30" s="105"/>
      <c r="AX30" s="106"/>
      <c r="AY30" s="107"/>
      <c r="AZ30" s="108"/>
      <c r="BA30" s="105"/>
      <c r="BB30" s="106"/>
      <c r="BC30" s="107"/>
      <c r="BD30" s="108"/>
      <c r="BE30" s="105"/>
      <c r="BF30" s="106"/>
      <c r="BG30" s="107"/>
      <c r="BH30" s="108"/>
      <c r="BI30" s="105"/>
      <c r="BJ30" s="106"/>
      <c r="BK30" s="107"/>
      <c r="BL30" s="108"/>
      <c r="BM30" s="105"/>
      <c r="BN30" s="106"/>
      <c r="BO30" s="107"/>
      <c r="BP30" s="108"/>
      <c r="BQ30" s="105"/>
      <c r="BR30" s="106"/>
      <c r="BS30" s="107"/>
      <c r="BT30" s="108"/>
      <c r="BU30" s="105"/>
      <c r="BV30" s="106"/>
      <c r="BW30" s="107"/>
      <c r="BX30" s="108"/>
      <c r="BY30" s="164"/>
      <c r="BZ30" s="147"/>
      <c r="CA30" s="161"/>
      <c r="CB30" s="162"/>
      <c r="CC30" s="164"/>
      <c r="CD30" s="147"/>
      <c r="CE30" s="161"/>
      <c r="CF30" s="162"/>
      <c r="CG30" s="105"/>
      <c r="CH30" s="106"/>
      <c r="CI30" s="107"/>
      <c r="CJ30" s="108"/>
      <c r="CK30" s="105"/>
      <c r="CL30" s="106"/>
      <c r="CM30" s="107"/>
      <c r="CN30" s="108"/>
      <c r="CO30" s="164"/>
      <c r="CP30" s="147"/>
      <c r="CQ30" s="161"/>
      <c r="CR30" s="162"/>
      <c r="CS30" s="164"/>
      <c r="CT30" s="147"/>
      <c r="CU30" s="161"/>
      <c r="CV30" s="162"/>
      <c r="CW30" s="105"/>
      <c r="CX30" s="106"/>
      <c r="CY30" s="107"/>
      <c r="CZ30" s="108"/>
      <c r="DA30" s="105"/>
      <c r="DB30" s="106"/>
      <c r="DC30" s="107"/>
      <c r="DD30" s="108"/>
      <c r="DE30" s="164"/>
      <c r="DF30" s="147"/>
      <c r="DG30" s="161"/>
      <c r="DH30" s="162"/>
      <c r="DI30" s="164"/>
      <c r="DJ30" s="147"/>
      <c r="DK30" s="161"/>
      <c r="DL30" s="162"/>
      <c r="DM30" s="105"/>
      <c r="DN30" s="106"/>
      <c r="DO30" s="107"/>
      <c r="DP30" s="108"/>
      <c r="DQ30" s="105"/>
      <c r="DR30" s="106"/>
      <c r="DS30" s="107"/>
      <c r="DT30" s="108"/>
      <c r="DU30" s="164"/>
      <c r="DV30" s="147"/>
      <c r="DW30" s="161"/>
      <c r="DX30" s="162"/>
      <c r="DY30" s="164"/>
      <c r="DZ30" s="147"/>
      <c r="EA30" s="161"/>
      <c r="EB30" s="162"/>
      <c r="EC30" s="105"/>
      <c r="ED30" s="106"/>
      <c r="EE30" s="107"/>
      <c r="EF30" s="108"/>
      <c r="EG30" s="105"/>
      <c r="EH30" s="106"/>
      <c r="EI30" s="107"/>
      <c r="EJ30" s="108"/>
      <c r="EK30" s="153">
        <f t="shared" si="0"/>
        <v>115</v>
      </c>
      <c r="EL30" s="153">
        <f t="shared" si="1"/>
        <v>115</v>
      </c>
      <c r="EM30" s="165">
        <f>EP30</f>
        <v>115</v>
      </c>
      <c r="EN30" s="166"/>
      <c r="EO30" s="167"/>
      <c r="EP30" s="168">
        <v>115</v>
      </c>
      <c r="EQ30" s="105"/>
      <c r="ER30" s="106"/>
      <c r="ES30" s="107"/>
      <c r="ET30" s="108"/>
    </row>
    <row r="31" spans="1:150" s="4" customFormat="1" ht="24.75" customHeight="1" x14ac:dyDescent="0.25">
      <c r="A31" s="720" t="s">
        <v>7</v>
      </c>
      <c r="B31" s="722" t="s">
        <v>49</v>
      </c>
      <c r="C31" s="34" t="s">
        <v>137</v>
      </c>
      <c r="D31" s="139" t="s">
        <v>37</v>
      </c>
      <c r="E31" s="105">
        <f t="shared" si="53"/>
        <v>2960.2740000000003</v>
      </c>
      <c r="F31" s="106">
        <f>J31+105.7+10.63+3.5+38.7+6+3+5+35.2+11.3+10+1+15+0.25+484.485+26-0.6-17.89-30-7.5</f>
        <v>1260.8280000000002</v>
      </c>
      <c r="G31" s="107">
        <f>K31</f>
        <v>0</v>
      </c>
      <c r="H31" s="108">
        <f>L31+65+96.4+2+6+32+5+294.101+30</f>
        <v>1699.4459999999999</v>
      </c>
      <c r="I31" s="105">
        <f t="shared" si="54"/>
        <v>1729.9979999999996</v>
      </c>
      <c r="J31" s="106">
        <f>2.533+0.84+295.761+2.5+1.47+40+8.2+108.08+20.675+57.244+5+13.75+5</f>
        <v>561.053</v>
      </c>
      <c r="K31" s="107"/>
      <c r="L31" s="108">
        <f>20.331+0.313+64.5+403.662+11.395+30+68.77+47+40+37+5+58+30+200+130.77+80.715+24.1+32+45.099-150-4.71-5</f>
        <v>1168.9449999999997</v>
      </c>
      <c r="M31" s="105">
        <f t="shared" si="100"/>
        <v>-2.0270000000000001</v>
      </c>
      <c r="N31" s="106">
        <v>2</v>
      </c>
      <c r="O31" s="107"/>
      <c r="P31" s="108">
        <f>-2.027-2</f>
        <v>-4.0270000000000001</v>
      </c>
      <c r="Q31" s="105">
        <f t="shared" si="56"/>
        <v>-2.0270000000000001</v>
      </c>
      <c r="R31" s="106"/>
      <c r="S31" s="107"/>
      <c r="T31" s="108">
        <v>-2.0270000000000001</v>
      </c>
      <c r="U31" s="105">
        <f t="shared" si="72"/>
        <v>2958.2470000000003</v>
      </c>
      <c r="V31" s="106">
        <f t="shared" si="73"/>
        <v>1262.8280000000002</v>
      </c>
      <c r="W31" s="107">
        <f t="shared" si="74"/>
        <v>0</v>
      </c>
      <c r="X31" s="108">
        <f t="shared" si="75"/>
        <v>1695.4189999999999</v>
      </c>
      <c r="Y31" s="105">
        <f t="shared" si="76"/>
        <v>1727.9709999999995</v>
      </c>
      <c r="Z31" s="106">
        <f t="shared" si="77"/>
        <v>561.053</v>
      </c>
      <c r="AA31" s="107">
        <f t="shared" si="78"/>
        <v>0</v>
      </c>
      <c r="AB31" s="108">
        <f>L31+T31</f>
        <v>1166.9179999999997</v>
      </c>
      <c r="AC31" s="105">
        <f t="shared" si="101"/>
        <v>-30.627000000000002</v>
      </c>
      <c r="AD31" s="106">
        <v>-30.78</v>
      </c>
      <c r="AE31" s="107"/>
      <c r="AF31" s="108">
        <v>0.153</v>
      </c>
      <c r="AG31" s="105">
        <f t="shared" si="58"/>
        <v>0.153</v>
      </c>
      <c r="AH31" s="106"/>
      <c r="AI31" s="107"/>
      <c r="AJ31" s="108">
        <v>0.153</v>
      </c>
      <c r="AK31" s="105">
        <f t="shared" si="80"/>
        <v>2927.62</v>
      </c>
      <c r="AL31" s="106">
        <f t="shared" si="4"/>
        <v>1232.0480000000002</v>
      </c>
      <c r="AM31" s="107">
        <f t="shared" si="5"/>
        <v>0</v>
      </c>
      <c r="AN31" s="108">
        <f t="shared" si="6"/>
        <v>1695.5719999999999</v>
      </c>
      <c r="AO31" s="105">
        <f t="shared" si="81"/>
        <v>1728.1239999999998</v>
      </c>
      <c r="AP31" s="106">
        <f t="shared" ref="AP31:AP36" si="116">Z31+AH31</f>
        <v>561.053</v>
      </c>
      <c r="AQ31" s="107">
        <f t="shared" si="8"/>
        <v>0</v>
      </c>
      <c r="AR31" s="108">
        <f>AB31+AJ31</f>
        <v>1167.0709999999997</v>
      </c>
      <c r="AS31" s="105">
        <f t="shared" si="102"/>
        <v>-130.065</v>
      </c>
      <c r="AT31" s="106">
        <f>-6.776-47.637-7.999-1.222-40.901</f>
        <v>-104.535</v>
      </c>
      <c r="AU31" s="107"/>
      <c r="AV31" s="108">
        <f>-12.04-7.706-5.784</f>
        <v>-25.529999999999998</v>
      </c>
      <c r="AW31" s="105">
        <f t="shared" si="60"/>
        <v>0</v>
      </c>
      <c r="AX31" s="106"/>
      <c r="AY31" s="107"/>
      <c r="AZ31" s="108"/>
      <c r="BA31" s="105">
        <f t="shared" si="82"/>
        <v>2797.5550000000003</v>
      </c>
      <c r="BB31" s="106">
        <f t="shared" si="10"/>
        <v>1127.5130000000001</v>
      </c>
      <c r="BC31" s="107">
        <f t="shared" si="11"/>
        <v>0</v>
      </c>
      <c r="BD31" s="108">
        <f t="shared" si="12"/>
        <v>1670.0419999999999</v>
      </c>
      <c r="BE31" s="105">
        <f t="shared" si="83"/>
        <v>1728.1239999999998</v>
      </c>
      <c r="BF31" s="106">
        <f t="shared" ref="BF31:BF36" si="117">AP31+AX31</f>
        <v>561.053</v>
      </c>
      <c r="BG31" s="107">
        <f t="shared" si="14"/>
        <v>0</v>
      </c>
      <c r="BH31" s="108">
        <f>AR31+AZ31</f>
        <v>1167.0709999999997</v>
      </c>
      <c r="BI31" s="105">
        <f t="shared" si="103"/>
        <v>-6.5160000000000089</v>
      </c>
      <c r="BJ31" s="106">
        <f>2.402+2.3+10.101+16.4+7.453+17.825-47.453-0.558+4.689</f>
        <v>13.158999999999992</v>
      </c>
      <c r="BK31" s="107"/>
      <c r="BL31" s="108">
        <f>-2.402-2.3-10.101+6.375+8.195-9.972-9.47</f>
        <v>-19.675000000000001</v>
      </c>
      <c r="BM31" s="105">
        <f t="shared" si="62"/>
        <v>16.399999999999999</v>
      </c>
      <c r="BN31" s="106">
        <f>16.4+2.402+10.101</f>
        <v>28.902999999999999</v>
      </c>
      <c r="BO31" s="107"/>
      <c r="BP31" s="108">
        <f>-2.402-10.101</f>
        <v>-12.503</v>
      </c>
      <c r="BQ31" s="105">
        <f t="shared" si="84"/>
        <v>2791.0389999999998</v>
      </c>
      <c r="BR31" s="106">
        <f t="shared" si="16"/>
        <v>1140.672</v>
      </c>
      <c r="BS31" s="107">
        <f t="shared" si="17"/>
        <v>0</v>
      </c>
      <c r="BT31" s="108">
        <f t="shared" si="85"/>
        <v>1650.367</v>
      </c>
      <c r="BU31" s="105">
        <f t="shared" si="86"/>
        <v>1744.5239999999999</v>
      </c>
      <c r="BV31" s="106">
        <f t="shared" ref="BV31:BV36" si="118">BF31+BN31</f>
        <v>589.95600000000002</v>
      </c>
      <c r="BW31" s="107">
        <f t="shared" si="20"/>
        <v>0</v>
      </c>
      <c r="BX31" s="108">
        <f>BH31+BP31</f>
        <v>1154.5679999999998</v>
      </c>
      <c r="BY31" s="164">
        <f t="shared" si="104"/>
        <v>-29.977</v>
      </c>
      <c r="BZ31" s="147">
        <f>-4.86-2.988-10</f>
        <v>-17.847999999999999</v>
      </c>
      <c r="CA31" s="161"/>
      <c r="CB31" s="162">
        <f>-6.2-5.929</f>
        <v>-12.129000000000001</v>
      </c>
      <c r="CC31" s="164">
        <f t="shared" si="64"/>
        <v>-4.8600000000000003</v>
      </c>
      <c r="CD31" s="147">
        <v>-4.8600000000000003</v>
      </c>
      <c r="CE31" s="161"/>
      <c r="CF31" s="162"/>
      <c r="CG31" s="105">
        <f t="shared" si="87"/>
        <v>2761.0619999999999</v>
      </c>
      <c r="CH31" s="106">
        <f t="shared" si="22"/>
        <v>1122.8240000000001</v>
      </c>
      <c r="CI31" s="107">
        <f t="shared" si="23"/>
        <v>0</v>
      </c>
      <c r="CJ31" s="108">
        <f t="shared" si="88"/>
        <v>1638.2380000000001</v>
      </c>
      <c r="CK31" s="105">
        <f t="shared" si="89"/>
        <v>1739.6639999999998</v>
      </c>
      <c r="CL31" s="106">
        <f t="shared" ref="CL31:CL36" si="119">BV31+CD31</f>
        <v>585.096</v>
      </c>
      <c r="CM31" s="107">
        <f t="shared" si="26"/>
        <v>0</v>
      </c>
      <c r="CN31" s="108">
        <f>BX31+CF31</f>
        <v>1154.5679999999998</v>
      </c>
      <c r="CO31" s="164">
        <f t="shared" si="105"/>
        <v>-20.218999999999998</v>
      </c>
      <c r="CP31" s="147">
        <f>CT31-1-1.169-13.552-5.498</f>
        <v>-20.632999999999999</v>
      </c>
      <c r="CQ31" s="161"/>
      <c r="CR31" s="162">
        <f>CV31+1</f>
        <v>0.41400000000000003</v>
      </c>
      <c r="CS31" s="164">
        <f t="shared" si="66"/>
        <v>0</v>
      </c>
      <c r="CT31" s="147">
        <v>0.58599999999999997</v>
      </c>
      <c r="CU31" s="161"/>
      <c r="CV31" s="162">
        <v>-0.58599999999999997</v>
      </c>
      <c r="CW31" s="105">
        <f t="shared" si="90"/>
        <v>2740.8429999999998</v>
      </c>
      <c r="CX31" s="106">
        <f t="shared" si="28"/>
        <v>1102.191</v>
      </c>
      <c r="CY31" s="107">
        <f t="shared" si="29"/>
        <v>0</v>
      </c>
      <c r="CZ31" s="108">
        <f t="shared" si="91"/>
        <v>1638.652</v>
      </c>
      <c r="DA31" s="105">
        <f t="shared" si="92"/>
        <v>1739.6639999999998</v>
      </c>
      <c r="DB31" s="106">
        <f t="shared" ref="DB31:DB36" si="120">CL31+CT31</f>
        <v>585.68200000000002</v>
      </c>
      <c r="DC31" s="107">
        <f t="shared" si="32"/>
        <v>0</v>
      </c>
      <c r="DD31" s="108">
        <f>CN31+CV31</f>
        <v>1153.9819999999997</v>
      </c>
      <c r="DE31" s="164">
        <f t="shared" si="106"/>
        <v>-10.951000000000001</v>
      </c>
      <c r="DF31" s="147">
        <f>-6.91</f>
        <v>-6.91</v>
      </c>
      <c r="DG31" s="161"/>
      <c r="DH31" s="162">
        <f>-1.042-2.999</f>
        <v>-4.0410000000000004</v>
      </c>
      <c r="DI31" s="164">
        <f t="shared" si="68"/>
        <v>0</v>
      </c>
      <c r="DJ31" s="147"/>
      <c r="DK31" s="161"/>
      <c r="DL31" s="162"/>
      <c r="DM31" s="105">
        <f t="shared" si="93"/>
        <v>2729.8919999999998</v>
      </c>
      <c r="DN31" s="106">
        <f t="shared" si="34"/>
        <v>1095.2809999999999</v>
      </c>
      <c r="DO31" s="107">
        <f t="shared" si="35"/>
        <v>0</v>
      </c>
      <c r="DP31" s="108">
        <f t="shared" si="94"/>
        <v>1634.6110000000001</v>
      </c>
      <c r="DQ31" s="105">
        <f t="shared" si="95"/>
        <v>1739.6639999999998</v>
      </c>
      <c r="DR31" s="106">
        <f t="shared" ref="DR31:DR36" si="121">DB31+DJ31</f>
        <v>585.68200000000002</v>
      </c>
      <c r="DS31" s="107">
        <f t="shared" si="38"/>
        <v>0</v>
      </c>
      <c r="DT31" s="108">
        <f>DD31+DL31</f>
        <v>1153.9819999999997</v>
      </c>
      <c r="DU31" s="164">
        <f t="shared" si="107"/>
        <v>-10.563000000000001</v>
      </c>
      <c r="DV31" s="147">
        <f>-3.913-3.734</f>
        <v>-7.6470000000000002</v>
      </c>
      <c r="DW31" s="161"/>
      <c r="DX31" s="162">
        <v>-2.9159999999999999</v>
      </c>
      <c r="DY31" s="164">
        <f t="shared" si="70"/>
        <v>0</v>
      </c>
      <c r="DZ31" s="147"/>
      <c r="EA31" s="161"/>
      <c r="EB31" s="162"/>
      <c r="EC31" s="105">
        <f t="shared" si="96"/>
        <v>2719.3290000000002</v>
      </c>
      <c r="ED31" s="106">
        <f t="shared" si="108"/>
        <v>1087.634</v>
      </c>
      <c r="EE31" s="107">
        <f t="shared" si="41"/>
        <v>0</v>
      </c>
      <c r="EF31" s="108">
        <f t="shared" si="97"/>
        <v>1631.6950000000002</v>
      </c>
      <c r="EG31" s="105">
        <f t="shared" si="98"/>
        <v>1739.6639999999998</v>
      </c>
      <c r="EH31" s="106">
        <f t="shared" ref="EH31:EH36" si="122">DR31+DZ31</f>
        <v>585.68200000000002</v>
      </c>
      <c r="EI31" s="107">
        <f t="shared" si="44"/>
        <v>0</v>
      </c>
      <c r="EJ31" s="108">
        <f>DT31+EB31</f>
        <v>1153.9819999999997</v>
      </c>
      <c r="EK31" s="163">
        <f t="shared" si="0"/>
        <v>585.89099999999962</v>
      </c>
      <c r="EL31" s="163">
        <f t="shared" si="1"/>
        <v>826.83599999999979</v>
      </c>
      <c r="EM31" s="105">
        <f t="shared" si="99"/>
        <v>3546.165</v>
      </c>
      <c r="EN31" s="106">
        <f>ER31+126.2+69.7+34+233.7-2</f>
        <v>1415.0120000000002</v>
      </c>
      <c r="EO31" s="107"/>
      <c r="EP31" s="108">
        <f>ET31+436.28+57.8-69.31</f>
        <v>2131.1529999999998</v>
      </c>
      <c r="EQ31" s="105">
        <f t="shared" si="71"/>
        <v>2659.7950000000001</v>
      </c>
      <c r="ER31" s="106">
        <f>2.686+330.752+516.284+103.69</f>
        <v>953.41200000000003</v>
      </c>
      <c r="ES31" s="107"/>
      <c r="ET31" s="108">
        <f>60+643.038-0.475+1167.51-60-103.69</f>
        <v>1706.3829999999998</v>
      </c>
    </row>
    <row r="32" spans="1:150" s="4" customFormat="1" ht="24.75" customHeight="1" x14ac:dyDescent="0.25">
      <c r="A32" s="724"/>
      <c r="B32" s="723"/>
      <c r="C32" s="34" t="s">
        <v>138</v>
      </c>
      <c r="D32" s="139" t="s">
        <v>52</v>
      </c>
      <c r="E32" s="105"/>
      <c r="F32" s="106"/>
      <c r="G32" s="107"/>
      <c r="H32" s="108"/>
      <c r="I32" s="105"/>
      <c r="J32" s="106"/>
      <c r="K32" s="107"/>
      <c r="L32" s="108"/>
      <c r="M32" s="105"/>
      <c r="N32" s="106"/>
      <c r="O32" s="107"/>
      <c r="P32" s="108"/>
      <c r="Q32" s="105"/>
      <c r="R32" s="106"/>
      <c r="S32" s="107"/>
      <c r="T32" s="108"/>
      <c r="U32" s="105"/>
      <c r="V32" s="106"/>
      <c r="W32" s="107"/>
      <c r="X32" s="108"/>
      <c r="Y32" s="105"/>
      <c r="Z32" s="106"/>
      <c r="AA32" s="107"/>
      <c r="AB32" s="108"/>
      <c r="AC32" s="105"/>
      <c r="AD32" s="106"/>
      <c r="AE32" s="107"/>
      <c r="AF32" s="108"/>
      <c r="AG32" s="105"/>
      <c r="AH32" s="106"/>
      <c r="AI32" s="107"/>
      <c r="AJ32" s="108"/>
      <c r="AK32" s="105"/>
      <c r="AL32" s="106"/>
      <c r="AM32" s="107"/>
      <c r="AN32" s="108"/>
      <c r="AO32" s="105"/>
      <c r="AP32" s="106"/>
      <c r="AQ32" s="107"/>
      <c r="AR32" s="108"/>
      <c r="AS32" s="105"/>
      <c r="AT32" s="106"/>
      <c r="AU32" s="107"/>
      <c r="AV32" s="108"/>
      <c r="AW32" s="105"/>
      <c r="AX32" s="106"/>
      <c r="AY32" s="107"/>
      <c r="AZ32" s="108"/>
      <c r="BA32" s="105"/>
      <c r="BB32" s="106"/>
      <c r="BC32" s="107"/>
      <c r="BD32" s="108"/>
      <c r="BE32" s="105"/>
      <c r="BF32" s="106"/>
      <c r="BG32" s="107"/>
      <c r="BH32" s="108"/>
      <c r="BI32" s="105"/>
      <c r="BJ32" s="106"/>
      <c r="BK32" s="107"/>
      <c r="BL32" s="108"/>
      <c r="BM32" s="105"/>
      <c r="BN32" s="106"/>
      <c r="BO32" s="107"/>
      <c r="BP32" s="108"/>
      <c r="BQ32" s="105"/>
      <c r="BR32" s="106"/>
      <c r="BS32" s="107"/>
      <c r="BT32" s="108"/>
      <c r="BU32" s="105"/>
      <c r="BV32" s="106"/>
      <c r="BW32" s="107"/>
      <c r="BX32" s="108"/>
      <c r="BY32" s="164"/>
      <c r="BZ32" s="147"/>
      <c r="CA32" s="161"/>
      <c r="CB32" s="162"/>
      <c r="CC32" s="164"/>
      <c r="CD32" s="147"/>
      <c r="CE32" s="161"/>
      <c r="CF32" s="162"/>
      <c r="CG32" s="105"/>
      <c r="CH32" s="106"/>
      <c r="CI32" s="107"/>
      <c r="CJ32" s="108"/>
      <c r="CK32" s="105"/>
      <c r="CL32" s="106"/>
      <c r="CM32" s="107"/>
      <c r="CN32" s="108"/>
      <c r="CO32" s="164"/>
      <c r="CP32" s="147"/>
      <c r="CQ32" s="161"/>
      <c r="CR32" s="162"/>
      <c r="CS32" s="164"/>
      <c r="CT32" s="147"/>
      <c r="CU32" s="161"/>
      <c r="CV32" s="162"/>
      <c r="CW32" s="105"/>
      <c r="CX32" s="106"/>
      <c r="CY32" s="107"/>
      <c r="CZ32" s="108"/>
      <c r="DA32" s="105"/>
      <c r="DB32" s="106"/>
      <c r="DC32" s="107"/>
      <c r="DD32" s="108"/>
      <c r="DE32" s="164"/>
      <c r="DF32" s="147"/>
      <c r="DG32" s="161"/>
      <c r="DH32" s="162"/>
      <c r="DI32" s="164"/>
      <c r="DJ32" s="147"/>
      <c r="DK32" s="161"/>
      <c r="DL32" s="162"/>
      <c r="DM32" s="105"/>
      <c r="DN32" s="106"/>
      <c r="DO32" s="107"/>
      <c r="DP32" s="108"/>
      <c r="DQ32" s="105"/>
      <c r="DR32" s="106"/>
      <c r="DS32" s="107"/>
      <c r="DT32" s="108"/>
      <c r="DU32" s="164"/>
      <c r="DV32" s="147"/>
      <c r="DW32" s="161"/>
      <c r="DX32" s="162"/>
      <c r="DY32" s="164"/>
      <c r="DZ32" s="147"/>
      <c r="EA32" s="161"/>
      <c r="EB32" s="162"/>
      <c r="EC32" s="105"/>
      <c r="ED32" s="106"/>
      <c r="EE32" s="107"/>
      <c r="EF32" s="108"/>
      <c r="EG32" s="105"/>
      <c r="EH32" s="106"/>
      <c r="EI32" s="107"/>
      <c r="EJ32" s="108"/>
      <c r="EK32" s="163">
        <f t="shared" si="0"/>
        <v>45</v>
      </c>
      <c r="EL32" s="163">
        <f t="shared" si="1"/>
        <v>45</v>
      </c>
      <c r="EM32" s="105">
        <f t="shared" si="99"/>
        <v>45</v>
      </c>
      <c r="EN32" s="106">
        <f>ER32+30.5</f>
        <v>45</v>
      </c>
      <c r="EO32" s="107"/>
      <c r="EP32" s="108"/>
      <c r="EQ32" s="105">
        <f>ER32+ET32</f>
        <v>14.5</v>
      </c>
      <c r="ER32" s="106">
        <v>14.5</v>
      </c>
      <c r="ES32" s="107"/>
      <c r="ET32" s="108"/>
    </row>
    <row r="33" spans="1:150" s="13" customFormat="1" ht="27.65" customHeight="1" x14ac:dyDescent="0.25">
      <c r="A33" s="721"/>
      <c r="B33" s="725"/>
      <c r="C33" s="34" t="s">
        <v>218</v>
      </c>
      <c r="D33" s="139" t="s">
        <v>119</v>
      </c>
      <c r="E33" s="105">
        <f t="shared" si="53"/>
        <v>166.13800000000003</v>
      </c>
      <c r="F33" s="106">
        <f>SUM(F35:F37)</f>
        <v>17.228999999999999</v>
      </c>
      <c r="G33" s="107">
        <f t="shared" ref="G33:H33" si="123">SUM(G35:G37)</f>
        <v>0</v>
      </c>
      <c r="H33" s="108">
        <f t="shared" si="123"/>
        <v>148.90900000000002</v>
      </c>
      <c r="I33" s="105">
        <f t="shared" si="54"/>
        <v>0</v>
      </c>
      <c r="J33" s="106"/>
      <c r="K33" s="107"/>
      <c r="L33" s="108"/>
      <c r="M33" s="105">
        <f t="shared" si="100"/>
        <v>0</v>
      </c>
      <c r="N33" s="106"/>
      <c r="O33" s="107"/>
      <c r="P33" s="108"/>
      <c r="Q33" s="105">
        <f t="shared" si="56"/>
        <v>0</v>
      </c>
      <c r="R33" s="106"/>
      <c r="S33" s="107"/>
      <c r="T33" s="108"/>
      <c r="U33" s="105">
        <f t="shared" si="72"/>
        <v>166.13800000000003</v>
      </c>
      <c r="V33" s="106">
        <f t="shared" si="73"/>
        <v>17.228999999999999</v>
      </c>
      <c r="W33" s="107">
        <f t="shared" si="74"/>
        <v>0</v>
      </c>
      <c r="X33" s="108">
        <f t="shared" si="75"/>
        <v>148.90900000000002</v>
      </c>
      <c r="Y33" s="105">
        <f t="shared" si="76"/>
        <v>0</v>
      </c>
      <c r="Z33" s="106">
        <f t="shared" si="77"/>
        <v>0</v>
      </c>
      <c r="AA33" s="107">
        <f t="shared" si="78"/>
        <v>0</v>
      </c>
      <c r="AB33" s="108">
        <f t="shared" si="79"/>
        <v>0</v>
      </c>
      <c r="AC33" s="105">
        <f t="shared" si="101"/>
        <v>0</v>
      </c>
      <c r="AD33" s="106"/>
      <c r="AE33" s="107"/>
      <c r="AF33" s="108"/>
      <c r="AG33" s="105">
        <f t="shared" si="58"/>
        <v>0</v>
      </c>
      <c r="AH33" s="106"/>
      <c r="AI33" s="107"/>
      <c r="AJ33" s="108"/>
      <c r="AK33" s="105">
        <f t="shared" si="80"/>
        <v>166.13800000000003</v>
      </c>
      <c r="AL33" s="106">
        <f t="shared" si="4"/>
        <v>17.228999999999999</v>
      </c>
      <c r="AM33" s="107">
        <f t="shared" si="5"/>
        <v>0</v>
      </c>
      <c r="AN33" s="108">
        <f t="shared" si="6"/>
        <v>148.90900000000002</v>
      </c>
      <c r="AO33" s="105">
        <f t="shared" si="81"/>
        <v>0</v>
      </c>
      <c r="AP33" s="106">
        <f t="shared" si="116"/>
        <v>0</v>
      </c>
      <c r="AQ33" s="107">
        <f t="shared" si="8"/>
        <v>0</v>
      </c>
      <c r="AR33" s="108">
        <f t="shared" ref="AR33:AR36" si="124">AB33+AJ33</f>
        <v>0</v>
      </c>
      <c r="AS33" s="105">
        <f t="shared" si="102"/>
        <v>0</v>
      </c>
      <c r="AT33" s="106"/>
      <c r="AU33" s="107"/>
      <c r="AV33" s="108"/>
      <c r="AW33" s="105">
        <f t="shared" si="60"/>
        <v>0</v>
      </c>
      <c r="AX33" s="106"/>
      <c r="AY33" s="107"/>
      <c r="AZ33" s="108"/>
      <c r="BA33" s="105">
        <f t="shared" si="82"/>
        <v>166.13800000000003</v>
      </c>
      <c r="BB33" s="106">
        <f t="shared" si="10"/>
        <v>17.228999999999999</v>
      </c>
      <c r="BC33" s="107">
        <f t="shared" si="11"/>
        <v>0</v>
      </c>
      <c r="BD33" s="108">
        <f t="shared" si="12"/>
        <v>148.90900000000002</v>
      </c>
      <c r="BE33" s="105">
        <f t="shared" si="83"/>
        <v>0</v>
      </c>
      <c r="BF33" s="106">
        <f t="shared" si="117"/>
        <v>0</v>
      </c>
      <c r="BG33" s="107">
        <f t="shared" si="14"/>
        <v>0</v>
      </c>
      <c r="BH33" s="108">
        <f t="shared" ref="BH33:BH36" si="125">AR33+AZ33</f>
        <v>0</v>
      </c>
      <c r="BI33" s="105">
        <f t="shared" si="103"/>
        <v>0</v>
      </c>
      <c r="BJ33" s="106"/>
      <c r="BK33" s="107"/>
      <c r="BL33" s="108"/>
      <c r="BM33" s="105">
        <f t="shared" si="62"/>
        <v>0</v>
      </c>
      <c r="BN33" s="106"/>
      <c r="BO33" s="107"/>
      <c r="BP33" s="108"/>
      <c r="BQ33" s="105">
        <f t="shared" si="84"/>
        <v>166.13800000000003</v>
      </c>
      <c r="BR33" s="106">
        <f t="shared" si="16"/>
        <v>17.228999999999999</v>
      </c>
      <c r="BS33" s="107">
        <f t="shared" si="17"/>
        <v>0</v>
      </c>
      <c r="BT33" s="108">
        <f t="shared" si="85"/>
        <v>148.90900000000002</v>
      </c>
      <c r="BU33" s="105">
        <f t="shared" si="86"/>
        <v>0</v>
      </c>
      <c r="BV33" s="106">
        <f t="shared" si="118"/>
        <v>0</v>
      </c>
      <c r="BW33" s="107">
        <f t="shared" si="20"/>
        <v>0</v>
      </c>
      <c r="BX33" s="108">
        <f t="shared" ref="BX33:BX36" si="126">BH33+BP33</f>
        <v>0</v>
      </c>
      <c r="BY33" s="164">
        <f t="shared" si="104"/>
        <v>0</v>
      </c>
      <c r="BZ33" s="147"/>
      <c r="CA33" s="161"/>
      <c r="CB33" s="162"/>
      <c r="CC33" s="164">
        <f t="shared" si="64"/>
        <v>0</v>
      </c>
      <c r="CD33" s="147"/>
      <c r="CE33" s="161"/>
      <c r="CF33" s="162"/>
      <c r="CG33" s="105">
        <f t="shared" si="87"/>
        <v>166.13800000000003</v>
      </c>
      <c r="CH33" s="106">
        <f t="shared" si="22"/>
        <v>17.228999999999999</v>
      </c>
      <c r="CI33" s="107">
        <f t="shared" si="23"/>
        <v>0</v>
      </c>
      <c r="CJ33" s="108">
        <f t="shared" si="88"/>
        <v>148.90900000000002</v>
      </c>
      <c r="CK33" s="105">
        <f t="shared" si="89"/>
        <v>0</v>
      </c>
      <c r="CL33" s="106">
        <f t="shared" si="119"/>
        <v>0</v>
      </c>
      <c r="CM33" s="107">
        <f t="shared" si="26"/>
        <v>0</v>
      </c>
      <c r="CN33" s="108">
        <f t="shared" ref="CN33:CN36" si="127">BX33+CF33</f>
        <v>0</v>
      </c>
      <c r="CO33" s="164">
        <f t="shared" si="105"/>
        <v>0</v>
      </c>
      <c r="CP33" s="147"/>
      <c r="CQ33" s="161"/>
      <c r="CR33" s="162"/>
      <c r="CS33" s="164">
        <f t="shared" si="66"/>
        <v>0</v>
      </c>
      <c r="CT33" s="147"/>
      <c r="CU33" s="161"/>
      <c r="CV33" s="162"/>
      <c r="CW33" s="105">
        <f t="shared" si="90"/>
        <v>166.13800000000003</v>
      </c>
      <c r="CX33" s="106">
        <f t="shared" si="28"/>
        <v>17.228999999999999</v>
      </c>
      <c r="CY33" s="107">
        <f t="shared" si="29"/>
        <v>0</v>
      </c>
      <c r="CZ33" s="108">
        <f t="shared" si="91"/>
        <v>148.90900000000002</v>
      </c>
      <c r="DA33" s="105">
        <f t="shared" si="92"/>
        <v>0</v>
      </c>
      <c r="DB33" s="106">
        <f t="shared" si="120"/>
        <v>0</v>
      </c>
      <c r="DC33" s="107">
        <f t="shared" si="32"/>
        <v>0</v>
      </c>
      <c r="DD33" s="108">
        <f t="shared" ref="DD33:DD36" si="128">CN33+CV33</f>
        <v>0</v>
      </c>
      <c r="DE33" s="164">
        <f t="shared" si="106"/>
        <v>0</v>
      </c>
      <c r="DF33" s="147">
        <v>-17.228999999999999</v>
      </c>
      <c r="DG33" s="161"/>
      <c r="DH33" s="162">
        <v>17.228999999999999</v>
      </c>
      <c r="DI33" s="164">
        <f t="shared" si="68"/>
        <v>0</v>
      </c>
      <c r="DJ33" s="147"/>
      <c r="DK33" s="161"/>
      <c r="DL33" s="162"/>
      <c r="DM33" s="105">
        <f t="shared" si="93"/>
        <v>166.13800000000003</v>
      </c>
      <c r="DN33" s="106">
        <f t="shared" si="34"/>
        <v>0</v>
      </c>
      <c r="DO33" s="107">
        <f t="shared" si="35"/>
        <v>0</v>
      </c>
      <c r="DP33" s="108">
        <f t="shared" si="94"/>
        <v>166.13800000000003</v>
      </c>
      <c r="DQ33" s="105">
        <f t="shared" si="95"/>
        <v>0</v>
      </c>
      <c r="DR33" s="106">
        <f t="shared" si="121"/>
        <v>0</v>
      </c>
      <c r="DS33" s="107">
        <f t="shared" si="38"/>
        <v>0</v>
      </c>
      <c r="DT33" s="108">
        <f t="shared" ref="DT33:DT36" si="129">DD33+DL33</f>
        <v>0</v>
      </c>
      <c r="DU33" s="164">
        <f t="shared" si="107"/>
        <v>17.228999999999999</v>
      </c>
      <c r="DV33" s="147">
        <v>17.228999999999999</v>
      </c>
      <c r="DW33" s="161"/>
      <c r="DX33" s="162"/>
      <c r="DY33" s="164">
        <f t="shared" si="70"/>
        <v>0</v>
      </c>
      <c r="DZ33" s="147"/>
      <c r="EA33" s="161"/>
      <c r="EB33" s="162"/>
      <c r="EC33" s="105">
        <f t="shared" si="96"/>
        <v>183.36700000000002</v>
      </c>
      <c r="ED33" s="106">
        <f t="shared" si="108"/>
        <v>17.228999999999999</v>
      </c>
      <c r="EE33" s="107">
        <f t="shared" si="41"/>
        <v>0</v>
      </c>
      <c r="EF33" s="108">
        <f t="shared" si="97"/>
        <v>166.13800000000003</v>
      </c>
      <c r="EG33" s="105">
        <f t="shared" si="98"/>
        <v>0</v>
      </c>
      <c r="EH33" s="106">
        <f t="shared" si="122"/>
        <v>0</v>
      </c>
      <c r="EI33" s="107">
        <f t="shared" si="44"/>
        <v>0</v>
      </c>
      <c r="EJ33" s="108">
        <f t="shared" ref="EJ33:EJ36" si="130">DT33+EB33</f>
        <v>0</v>
      </c>
      <c r="EK33" s="163">
        <f t="shared" si="0"/>
        <v>150.38900000000001</v>
      </c>
      <c r="EL33" s="163">
        <f t="shared" si="1"/>
        <v>133.16000000000003</v>
      </c>
      <c r="EM33" s="105">
        <f t="shared" si="99"/>
        <v>316.52700000000004</v>
      </c>
      <c r="EN33" s="106">
        <f>EN35+EN36</f>
        <v>0.60499999999999998</v>
      </c>
      <c r="EO33" s="107"/>
      <c r="EP33" s="108">
        <f>EP35+EP36</f>
        <v>315.92200000000003</v>
      </c>
      <c r="EQ33" s="105">
        <f t="shared" si="71"/>
        <v>0</v>
      </c>
      <c r="ER33" s="106"/>
      <c r="ES33" s="107"/>
      <c r="ET33" s="108"/>
    </row>
    <row r="34" spans="1:150" s="13" customFormat="1" ht="13.5" customHeight="1" x14ac:dyDescent="0.25">
      <c r="A34" s="142"/>
      <c r="B34" s="25" t="s">
        <v>2</v>
      </c>
      <c r="C34" s="34"/>
      <c r="D34" s="139"/>
      <c r="E34" s="105"/>
      <c r="F34" s="106"/>
      <c r="G34" s="107"/>
      <c r="H34" s="108"/>
      <c r="I34" s="105"/>
      <c r="J34" s="106"/>
      <c r="K34" s="107"/>
      <c r="L34" s="108"/>
      <c r="M34" s="105"/>
      <c r="N34" s="106"/>
      <c r="O34" s="107"/>
      <c r="P34" s="108"/>
      <c r="Q34" s="105"/>
      <c r="R34" s="106"/>
      <c r="S34" s="107"/>
      <c r="T34" s="108"/>
      <c r="U34" s="105">
        <f t="shared" si="72"/>
        <v>0</v>
      </c>
      <c r="V34" s="106">
        <f t="shared" si="73"/>
        <v>0</v>
      </c>
      <c r="W34" s="107">
        <f t="shared" si="74"/>
        <v>0</v>
      </c>
      <c r="X34" s="108">
        <f t="shared" si="75"/>
        <v>0</v>
      </c>
      <c r="Y34" s="105">
        <f t="shared" si="76"/>
        <v>0</v>
      </c>
      <c r="Z34" s="106">
        <f t="shared" si="77"/>
        <v>0</v>
      </c>
      <c r="AA34" s="107">
        <f t="shared" si="78"/>
        <v>0</v>
      </c>
      <c r="AB34" s="108">
        <f t="shared" si="79"/>
        <v>0</v>
      </c>
      <c r="AC34" s="105"/>
      <c r="AD34" s="106"/>
      <c r="AE34" s="107"/>
      <c r="AF34" s="108"/>
      <c r="AG34" s="105"/>
      <c r="AH34" s="106"/>
      <c r="AI34" s="107"/>
      <c r="AJ34" s="108"/>
      <c r="AK34" s="105">
        <f t="shared" si="80"/>
        <v>0</v>
      </c>
      <c r="AL34" s="106">
        <f t="shared" si="4"/>
        <v>0</v>
      </c>
      <c r="AM34" s="107">
        <f t="shared" si="5"/>
        <v>0</v>
      </c>
      <c r="AN34" s="108">
        <f t="shared" si="6"/>
        <v>0</v>
      </c>
      <c r="AO34" s="105">
        <f t="shared" si="81"/>
        <v>0</v>
      </c>
      <c r="AP34" s="106">
        <f t="shared" si="116"/>
        <v>0</v>
      </c>
      <c r="AQ34" s="107">
        <f t="shared" si="8"/>
        <v>0</v>
      </c>
      <c r="AR34" s="108">
        <f t="shared" si="124"/>
        <v>0</v>
      </c>
      <c r="AS34" s="105"/>
      <c r="AT34" s="106"/>
      <c r="AU34" s="107"/>
      <c r="AV34" s="108"/>
      <c r="AW34" s="105"/>
      <c r="AX34" s="106"/>
      <c r="AY34" s="107"/>
      <c r="AZ34" s="108"/>
      <c r="BA34" s="105">
        <f t="shared" si="82"/>
        <v>0</v>
      </c>
      <c r="BB34" s="106">
        <f t="shared" si="10"/>
        <v>0</v>
      </c>
      <c r="BC34" s="107">
        <f t="shared" si="11"/>
        <v>0</v>
      </c>
      <c r="BD34" s="108">
        <f t="shared" si="12"/>
        <v>0</v>
      </c>
      <c r="BE34" s="105">
        <f t="shared" si="83"/>
        <v>0</v>
      </c>
      <c r="BF34" s="106">
        <f t="shared" si="117"/>
        <v>0</v>
      </c>
      <c r="BG34" s="107">
        <f t="shared" si="14"/>
        <v>0</v>
      </c>
      <c r="BH34" s="108">
        <f t="shared" si="125"/>
        <v>0</v>
      </c>
      <c r="BI34" s="105"/>
      <c r="BJ34" s="106"/>
      <c r="BK34" s="107"/>
      <c r="BL34" s="108"/>
      <c r="BM34" s="105"/>
      <c r="BN34" s="106"/>
      <c r="BO34" s="107"/>
      <c r="BP34" s="108"/>
      <c r="BQ34" s="105">
        <f t="shared" si="84"/>
        <v>0</v>
      </c>
      <c r="BR34" s="106">
        <f t="shared" si="16"/>
        <v>0</v>
      </c>
      <c r="BS34" s="107">
        <f t="shared" si="17"/>
        <v>0</v>
      </c>
      <c r="BT34" s="108">
        <f t="shared" si="85"/>
        <v>0</v>
      </c>
      <c r="BU34" s="105">
        <f t="shared" si="86"/>
        <v>0</v>
      </c>
      <c r="BV34" s="106">
        <f t="shared" si="118"/>
        <v>0</v>
      </c>
      <c r="BW34" s="107">
        <f t="shared" si="20"/>
        <v>0</v>
      </c>
      <c r="BX34" s="108">
        <f t="shared" si="126"/>
        <v>0</v>
      </c>
      <c r="BY34" s="164"/>
      <c r="BZ34" s="147"/>
      <c r="CA34" s="161"/>
      <c r="CB34" s="162"/>
      <c r="CC34" s="164"/>
      <c r="CD34" s="147"/>
      <c r="CE34" s="161"/>
      <c r="CF34" s="162"/>
      <c r="CG34" s="105">
        <f t="shared" si="87"/>
        <v>0</v>
      </c>
      <c r="CH34" s="106">
        <f t="shared" si="22"/>
        <v>0</v>
      </c>
      <c r="CI34" s="107">
        <f t="shared" si="23"/>
        <v>0</v>
      </c>
      <c r="CJ34" s="108">
        <f t="shared" si="88"/>
        <v>0</v>
      </c>
      <c r="CK34" s="105">
        <f t="shared" si="89"/>
        <v>0</v>
      </c>
      <c r="CL34" s="106">
        <f t="shared" si="119"/>
        <v>0</v>
      </c>
      <c r="CM34" s="107">
        <f t="shared" si="26"/>
        <v>0</v>
      </c>
      <c r="CN34" s="108">
        <f t="shared" si="127"/>
        <v>0</v>
      </c>
      <c r="CO34" s="164"/>
      <c r="CP34" s="147"/>
      <c r="CQ34" s="161"/>
      <c r="CR34" s="162"/>
      <c r="CS34" s="164"/>
      <c r="CT34" s="147"/>
      <c r="CU34" s="161"/>
      <c r="CV34" s="162"/>
      <c r="CW34" s="105">
        <f t="shared" si="90"/>
        <v>0</v>
      </c>
      <c r="CX34" s="106">
        <f t="shared" si="28"/>
        <v>0</v>
      </c>
      <c r="CY34" s="107">
        <f t="shared" si="29"/>
        <v>0</v>
      </c>
      <c r="CZ34" s="108">
        <f t="shared" si="91"/>
        <v>0</v>
      </c>
      <c r="DA34" s="105">
        <f t="shared" si="92"/>
        <v>0</v>
      </c>
      <c r="DB34" s="106">
        <f t="shared" si="120"/>
        <v>0</v>
      </c>
      <c r="DC34" s="107">
        <f t="shared" si="32"/>
        <v>0</v>
      </c>
      <c r="DD34" s="108">
        <f t="shared" si="128"/>
        <v>0</v>
      </c>
      <c r="DE34" s="164"/>
      <c r="DF34" s="147"/>
      <c r="DG34" s="161"/>
      <c r="DH34" s="162"/>
      <c r="DI34" s="164"/>
      <c r="DJ34" s="147"/>
      <c r="DK34" s="161"/>
      <c r="DL34" s="162"/>
      <c r="DM34" s="105">
        <f t="shared" si="93"/>
        <v>0</v>
      </c>
      <c r="DN34" s="106">
        <f t="shared" si="34"/>
        <v>0</v>
      </c>
      <c r="DO34" s="107">
        <f t="shared" si="35"/>
        <v>0</v>
      </c>
      <c r="DP34" s="108">
        <f t="shared" si="94"/>
        <v>0</v>
      </c>
      <c r="DQ34" s="105">
        <f t="shared" si="95"/>
        <v>0</v>
      </c>
      <c r="DR34" s="106">
        <f t="shared" si="121"/>
        <v>0</v>
      </c>
      <c r="DS34" s="107">
        <f t="shared" si="38"/>
        <v>0</v>
      </c>
      <c r="DT34" s="108">
        <f t="shared" si="129"/>
        <v>0</v>
      </c>
      <c r="DU34" s="164"/>
      <c r="DV34" s="147"/>
      <c r="DW34" s="161"/>
      <c r="DX34" s="162"/>
      <c r="DY34" s="164"/>
      <c r="DZ34" s="147"/>
      <c r="EA34" s="161"/>
      <c r="EB34" s="162"/>
      <c r="EC34" s="105">
        <f t="shared" si="96"/>
        <v>0</v>
      </c>
      <c r="ED34" s="106">
        <f t="shared" si="108"/>
        <v>0</v>
      </c>
      <c r="EE34" s="107">
        <f t="shared" si="41"/>
        <v>0</v>
      </c>
      <c r="EF34" s="108">
        <f t="shared" si="97"/>
        <v>0</v>
      </c>
      <c r="EG34" s="105">
        <f t="shared" si="98"/>
        <v>0</v>
      </c>
      <c r="EH34" s="106">
        <f t="shared" si="122"/>
        <v>0</v>
      </c>
      <c r="EI34" s="107">
        <f t="shared" si="44"/>
        <v>0</v>
      </c>
      <c r="EJ34" s="108">
        <f t="shared" si="130"/>
        <v>0</v>
      </c>
      <c r="EK34" s="153">
        <f t="shared" si="0"/>
        <v>0</v>
      </c>
      <c r="EL34" s="153">
        <f t="shared" si="1"/>
        <v>0</v>
      </c>
      <c r="EM34" s="105"/>
      <c r="EN34" s="106"/>
      <c r="EO34" s="107"/>
      <c r="EP34" s="108"/>
      <c r="EQ34" s="105"/>
      <c r="ER34" s="106"/>
      <c r="ES34" s="107"/>
      <c r="ET34" s="108"/>
    </row>
    <row r="35" spans="1:150" s="13" customFormat="1" ht="55.5" customHeight="1" x14ac:dyDescent="0.25">
      <c r="A35" s="142"/>
      <c r="B35" s="103" t="s">
        <v>225</v>
      </c>
      <c r="C35" s="45" t="s">
        <v>219</v>
      </c>
      <c r="D35" s="92" t="s">
        <v>119</v>
      </c>
      <c r="E35" s="105">
        <f t="shared" si="53"/>
        <v>17.228999999999999</v>
      </c>
      <c r="F35" s="106">
        <v>17.228999999999999</v>
      </c>
      <c r="G35" s="107"/>
      <c r="H35" s="108"/>
      <c r="I35" s="105">
        <f t="shared" ref="I35:I37" si="131">SUM(J35,L35)</f>
        <v>0</v>
      </c>
      <c r="J35" s="106"/>
      <c r="K35" s="107"/>
      <c r="L35" s="108"/>
      <c r="M35" s="105">
        <f t="shared" ref="M35:M37" si="132">SUM(N35,P35)</f>
        <v>0</v>
      </c>
      <c r="N35" s="106"/>
      <c r="O35" s="107"/>
      <c r="P35" s="108"/>
      <c r="Q35" s="105">
        <f t="shared" ref="Q35:Q37" si="133">SUM(R35,T35)</f>
        <v>0</v>
      </c>
      <c r="R35" s="106"/>
      <c r="S35" s="107"/>
      <c r="T35" s="108"/>
      <c r="U35" s="165">
        <f t="shared" si="72"/>
        <v>17.228999999999999</v>
      </c>
      <c r="V35" s="166">
        <f t="shared" si="73"/>
        <v>17.228999999999999</v>
      </c>
      <c r="W35" s="167">
        <f t="shared" si="74"/>
        <v>0</v>
      </c>
      <c r="X35" s="168">
        <f t="shared" si="75"/>
        <v>0</v>
      </c>
      <c r="Y35" s="105">
        <f t="shared" si="76"/>
        <v>0</v>
      </c>
      <c r="Z35" s="106">
        <f t="shared" si="77"/>
        <v>0</v>
      </c>
      <c r="AA35" s="107">
        <f t="shared" si="78"/>
        <v>0</v>
      </c>
      <c r="AB35" s="108">
        <f t="shared" si="79"/>
        <v>0</v>
      </c>
      <c r="AC35" s="105">
        <f t="shared" ref="AC35:AC37" si="134">SUM(AD35,AF35)</f>
        <v>0</v>
      </c>
      <c r="AD35" s="106"/>
      <c r="AE35" s="107"/>
      <c r="AF35" s="108"/>
      <c r="AG35" s="105">
        <f t="shared" ref="AG35:AG37" si="135">SUM(AH35,AJ35)</f>
        <v>0</v>
      </c>
      <c r="AH35" s="106"/>
      <c r="AI35" s="107"/>
      <c r="AJ35" s="108"/>
      <c r="AK35" s="165">
        <f t="shared" si="80"/>
        <v>17.228999999999999</v>
      </c>
      <c r="AL35" s="166">
        <f t="shared" si="4"/>
        <v>17.228999999999999</v>
      </c>
      <c r="AM35" s="167">
        <f t="shared" si="5"/>
        <v>0</v>
      </c>
      <c r="AN35" s="168">
        <f t="shared" si="6"/>
        <v>0</v>
      </c>
      <c r="AO35" s="105">
        <f t="shared" si="81"/>
        <v>0</v>
      </c>
      <c r="AP35" s="106">
        <f t="shared" si="116"/>
        <v>0</v>
      </c>
      <c r="AQ35" s="107">
        <f t="shared" si="8"/>
        <v>0</v>
      </c>
      <c r="AR35" s="108">
        <f t="shared" si="124"/>
        <v>0</v>
      </c>
      <c r="AS35" s="105">
        <f t="shared" ref="AS35:AS37" si="136">SUM(AT35,AV35)</f>
        <v>0</v>
      </c>
      <c r="AT35" s="106"/>
      <c r="AU35" s="107"/>
      <c r="AV35" s="108"/>
      <c r="AW35" s="105">
        <f t="shared" ref="AW35:AW37" si="137">SUM(AX35,AZ35)</f>
        <v>0</v>
      </c>
      <c r="AX35" s="106"/>
      <c r="AY35" s="107"/>
      <c r="AZ35" s="108"/>
      <c r="BA35" s="165">
        <f t="shared" si="82"/>
        <v>17.228999999999999</v>
      </c>
      <c r="BB35" s="166">
        <f t="shared" si="10"/>
        <v>17.228999999999999</v>
      </c>
      <c r="BC35" s="167">
        <f t="shared" si="11"/>
        <v>0</v>
      </c>
      <c r="BD35" s="168">
        <f t="shared" si="12"/>
        <v>0</v>
      </c>
      <c r="BE35" s="105">
        <f t="shared" si="83"/>
        <v>0</v>
      </c>
      <c r="BF35" s="106">
        <f t="shared" si="117"/>
        <v>0</v>
      </c>
      <c r="BG35" s="107">
        <f t="shared" si="14"/>
        <v>0</v>
      </c>
      <c r="BH35" s="108">
        <f t="shared" si="125"/>
        <v>0</v>
      </c>
      <c r="BI35" s="105">
        <f t="shared" ref="BI35:BI37" si="138">SUM(BJ35,BL35)</f>
        <v>0</v>
      </c>
      <c r="BJ35" s="106"/>
      <c r="BK35" s="107"/>
      <c r="BL35" s="108"/>
      <c r="BM35" s="105">
        <f t="shared" ref="BM35:BM37" si="139">SUM(BN35,BP35)</f>
        <v>0</v>
      </c>
      <c r="BN35" s="106"/>
      <c r="BO35" s="107"/>
      <c r="BP35" s="108"/>
      <c r="BQ35" s="165">
        <f t="shared" si="84"/>
        <v>17.228999999999999</v>
      </c>
      <c r="BR35" s="166">
        <f t="shared" si="16"/>
        <v>17.228999999999999</v>
      </c>
      <c r="BS35" s="167">
        <f t="shared" si="17"/>
        <v>0</v>
      </c>
      <c r="BT35" s="168">
        <f t="shared" si="85"/>
        <v>0</v>
      </c>
      <c r="BU35" s="105">
        <f t="shared" si="86"/>
        <v>0</v>
      </c>
      <c r="BV35" s="106">
        <f t="shared" si="118"/>
        <v>0</v>
      </c>
      <c r="BW35" s="107">
        <f t="shared" si="20"/>
        <v>0</v>
      </c>
      <c r="BX35" s="108">
        <f t="shared" si="126"/>
        <v>0</v>
      </c>
      <c r="BY35" s="164">
        <f t="shared" ref="BY35:BY37" si="140">SUM(BZ35,CB35)</f>
        <v>0</v>
      </c>
      <c r="BZ35" s="147"/>
      <c r="CA35" s="161"/>
      <c r="CB35" s="162"/>
      <c r="CC35" s="164">
        <f t="shared" ref="CC35:CC37" si="141">SUM(CD35,CF35)</f>
        <v>0</v>
      </c>
      <c r="CD35" s="147"/>
      <c r="CE35" s="161"/>
      <c r="CF35" s="162"/>
      <c r="CG35" s="165">
        <f t="shared" si="87"/>
        <v>17.228999999999999</v>
      </c>
      <c r="CH35" s="166">
        <f t="shared" si="22"/>
        <v>17.228999999999999</v>
      </c>
      <c r="CI35" s="167">
        <f t="shared" si="23"/>
        <v>0</v>
      </c>
      <c r="CJ35" s="168">
        <f t="shared" si="88"/>
        <v>0</v>
      </c>
      <c r="CK35" s="105">
        <f t="shared" si="89"/>
        <v>0</v>
      </c>
      <c r="CL35" s="106">
        <f t="shared" si="119"/>
        <v>0</v>
      </c>
      <c r="CM35" s="107">
        <f t="shared" si="26"/>
        <v>0</v>
      </c>
      <c r="CN35" s="108">
        <f t="shared" si="127"/>
        <v>0</v>
      </c>
      <c r="CO35" s="164">
        <f t="shared" ref="CO35:CO37" si="142">SUM(CP35,CR35)</f>
        <v>0</v>
      </c>
      <c r="CP35" s="147"/>
      <c r="CQ35" s="161"/>
      <c r="CR35" s="162"/>
      <c r="CS35" s="164">
        <f t="shared" ref="CS35:CS37" si="143">SUM(CT35,CV35)</f>
        <v>0</v>
      </c>
      <c r="CT35" s="147"/>
      <c r="CU35" s="161"/>
      <c r="CV35" s="162"/>
      <c r="CW35" s="165">
        <f t="shared" si="90"/>
        <v>17.228999999999999</v>
      </c>
      <c r="CX35" s="166">
        <f t="shared" si="28"/>
        <v>17.228999999999999</v>
      </c>
      <c r="CY35" s="167">
        <f t="shared" si="29"/>
        <v>0</v>
      </c>
      <c r="CZ35" s="168">
        <f t="shared" si="91"/>
        <v>0</v>
      </c>
      <c r="DA35" s="105">
        <f t="shared" si="92"/>
        <v>0</v>
      </c>
      <c r="DB35" s="106">
        <f t="shared" si="120"/>
        <v>0</v>
      </c>
      <c r="DC35" s="107">
        <f t="shared" si="32"/>
        <v>0</v>
      </c>
      <c r="DD35" s="108">
        <f t="shared" si="128"/>
        <v>0</v>
      </c>
      <c r="DE35" s="164">
        <f t="shared" ref="DE35:DE37" si="144">SUM(DF35,DH35)</f>
        <v>-17.228999999999999</v>
      </c>
      <c r="DF35" s="147">
        <v>-17.228999999999999</v>
      </c>
      <c r="DG35" s="161"/>
      <c r="DH35" s="162"/>
      <c r="DI35" s="164">
        <f t="shared" ref="DI35:DI37" si="145">SUM(DJ35,DL35)</f>
        <v>0</v>
      </c>
      <c r="DJ35" s="147"/>
      <c r="DK35" s="161"/>
      <c r="DL35" s="162"/>
      <c r="DM35" s="165">
        <f t="shared" si="93"/>
        <v>0</v>
      </c>
      <c r="DN35" s="166">
        <f t="shared" si="34"/>
        <v>0</v>
      </c>
      <c r="DO35" s="167">
        <f t="shared" si="35"/>
        <v>0</v>
      </c>
      <c r="DP35" s="168">
        <f t="shared" si="94"/>
        <v>0</v>
      </c>
      <c r="DQ35" s="105">
        <f t="shared" si="95"/>
        <v>0</v>
      </c>
      <c r="DR35" s="106">
        <f t="shared" si="121"/>
        <v>0</v>
      </c>
      <c r="DS35" s="107">
        <f t="shared" si="38"/>
        <v>0</v>
      </c>
      <c r="DT35" s="108">
        <f t="shared" si="129"/>
        <v>0</v>
      </c>
      <c r="DU35" s="164">
        <f t="shared" ref="DU35:DU37" si="146">SUM(DV35,DX35)</f>
        <v>17.228999999999999</v>
      </c>
      <c r="DV35" s="147">
        <v>17.228999999999999</v>
      </c>
      <c r="DW35" s="161"/>
      <c r="DX35" s="162"/>
      <c r="DY35" s="164">
        <f t="shared" ref="DY35:DY37" si="147">SUM(DZ35,EB35)</f>
        <v>0</v>
      </c>
      <c r="DZ35" s="147"/>
      <c r="EA35" s="161"/>
      <c r="EB35" s="162"/>
      <c r="EC35" s="165">
        <f t="shared" si="96"/>
        <v>17.228999999999999</v>
      </c>
      <c r="ED35" s="166">
        <f t="shared" si="108"/>
        <v>17.228999999999999</v>
      </c>
      <c r="EE35" s="167">
        <f t="shared" si="41"/>
        <v>0</v>
      </c>
      <c r="EF35" s="168">
        <f t="shared" si="97"/>
        <v>0</v>
      </c>
      <c r="EG35" s="105">
        <f t="shared" si="98"/>
        <v>0</v>
      </c>
      <c r="EH35" s="106">
        <f t="shared" si="122"/>
        <v>0</v>
      </c>
      <c r="EI35" s="107">
        <f t="shared" si="44"/>
        <v>0</v>
      </c>
      <c r="EJ35" s="108">
        <f t="shared" si="130"/>
        <v>0</v>
      </c>
      <c r="EK35" s="169">
        <f t="shared" si="0"/>
        <v>-16.623999999999999</v>
      </c>
      <c r="EL35" s="169">
        <f t="shared" si="1"/>
        <v>-16.623999999999999</v>
      </c>
      <c r="EM35" s="165">
        <f t="shared" si="99"/>
        <v>0.60499999999999998</v>
      </c>
      <c r="EN35" s="166">
        <v>0.60499999999999998</v>
      </c>
      <c r="EO35" s="107"/>
      <c r="EP35" s="108"/>
      <c r="EQ35" s="105">
        <f t="shared" ref="EQ35:EQ37" si="148">SUM(ER35,ET35)</f>
        <v>0</v>
      </c>
      <c r="ER35" s="106"/>
      <c r="ES35" s="107"/>
      <c r="ET35" s="108"/>
    </row>
    <row r="36" spans="1:150" s="13" customFormat="1" ht="40.5" customHeight="1" x14ac:dyDescent="0.25">
      <c r="A36" s="142"/>
      <c r="B36" s="103" t="s">
        <v>201</v>
      </c>
      <c r="C36" s="45" t="s">
        <v>220</v>
      </c>
      <c r="D36" s="92" t="s">
        <v>119</v>
      </c>
      <c r="E36" s="165">
        <f t="shared" si="53"/>
        <v>148.90900000000002</v>
      </c>
      <c r="F36" s="166"/>
      <c r="G36" s="167"/>
      <c r="H36" s="168">
        <f>0.068+148.841</f>
        <v>148.90900000000002</v>
      </c>
      <c r="I36" s="105">
        <f t="shared" si="131"/>
        <v>0</v>
      </c>
      <c r="J36" s="106"/>
      <c r="K36" s="107"/>
      <c r="L36" s="108"/>
      <c r="M36" s="165">
        <f t="shared" si="132"/>
        <v>0</v>
      </c>
      <c r="N36" s="166"/>
      <c r="O36" s="167"/>
      <c r="P36" s="168"/>
      <c r="Q36" s="105">
        <f t="shared" si="133"/>
        <v>0</v>
      </c>
      <c r="R36" s="106"/>
      <c r="S36" s="107"/>
      <c r="T36" s="108"/>
      <c r="U36" s="165">
        <f t="shared" si="72"/>
        <v>148.90900000000002</v>
      </c>
      <c r="V36" s="166">
        <f t="shared" si="73"/>
        <v>0</v>
      </c>
      <c r="W36" s="167">
        <f t="shared" si="74"/>
        <v>0</v>
      </c>
      <c r="X36" s="168">
        <f t="shared" si="75"/>
        <v>148.90900000000002</v>
      </c>
      <c r="Y36" s="105">
        <f t="shared" si="76"/>
        <v>0</v>
      </c>
      <c r="Z36" s="106">
        <f t="shared" si="77"/>
        <v>0</v>
      </c>
      <c r="AA36" s="107">
        <f t="shared" si="78"/>
        <v>0</v>
      </c>
      <c r="AB36" s="108">
        <f t="shared" si="79"/>
        <v>0</v>
      </c>
      <c r="AC36" s="165">
        <f t="shared" si="134"/>
        <v>0</v>
      </c>
      <c r="AD36" s="166"/>
      <c r="AE36" s="167"/>
      <c r="AF36" s="168"/>
      <c r="AG36" s="105">
        <f t="shared" si="135"/>
        <v>0</v>
      </c>
      <c r="AH36" s="106"/>
      <c r="AI36" s="107"/>
      <c r="AJ36" s="108"/>
      <c r="AK36" s="165">
        <f t="shared" si="80"/>
        <v>148.90900000000002</v>
      </c>
      <c r="AL36" s="166">
        <f t="shared" si="4"/>
        <v>0</v>
      </c>
      <c r="AM36" s="167">
        <f t="shared" si="5"/>
        <v>0</v>
      </c>
      <c r="AN36" s="168">
        <f t="shared" si="6"/>
        <v>148.90900000000002</v>
      </c>
      <c r="AO36" s="105">
        <f t="shared" si="81"/>
        <v>0</v>
      </c>
      <c r="AP36" s="106">
        <f t="shared" si="116"/>
        <v>0</v>
      </c>
      <c r="AQ36" s="107">
        <f t="shared" si="8"/>
        <v>0</v>
      </c>
      <c r="AR36" s="108">
        <f t="shared" si="124"/>
        <v>0</v>
      </c>
      <c r="AS36" s="165">
        <f t="shared" si="136"/>
        <v>0</v>
      </c>
      <c r="AT36" s="166"/>
      <c r="AU36" s="167"/>
      <c r="AV36" s="168"/>
      <c r="AW36" s="105">
        <f t="shared" si="137"/>
        <v>0</v>
      </c>
      <c r="AX36" s="106"/>
      <c r="AY36" s="107"/>
      <c r="AZ36" s="108"/>
      <c r="BA36" s="165">
        <f t="shared" si="82"/>
        <v>148.90900000000002</v>
      </c>
      <c r="BB36" s="166">
        <f t="shared" si="10"/>
        <v>0</v>
      </c>
      <c r="BC36" s="167">
        <f t="shared" si="11"/>
        <v>0</v>
      </c>
      <c r="BD36" s="168">
        <f t="shared" si="12"/>
        <v>148.90900000000002</v>
      </c>
      <c r="BE36" s="105">
        <f t="shared" si="83"/>
        <v>0</v>
      </c>
      <c r="BF36" s="106">
        <f t="shared" si="117"/>
        <v>0</v>
      </c>
      <c r="BG36" s="107">
        <f t="shared" si="14"/>
        <v>0</v>
      </c>
      <c r="BH36" s="108">
        <f t="shared" si="125"/>
        <v>0</v>
      </c>
      <c r="BI36" s="165">
        <f t="shared" si="138"/>
        <v>0</v>
      </c>
      <c r="BJ36" s="166"/>
      <c r="BK36" s="167"/>
      <c r="BL36" s="168"/>
      <c r="BM36" s="105">
        <f t="shared" si="139"/>
        <v>0</v>
      </c>
      <c r="BN36" s="106"/>
      <c r="BO36" s="107"/>
      <c r="BP36" s="108"/>
      <c r="BQ36" s="165">
        <f t="shared" si="84"/>
        <v>148.90900000000002</v>
      </c>
      <c r="BR36" s="166">
        <f t="shared" si="16"/>
        <v>0</v>
      </c>
      <c r="BS36" s="167">
        <f t="shared" si="17"/>
        <v>0</v>
      </c>
      <c r="BT36" s="168">
        <f t="shared" si="85"/>
        <v>148.90900000000002</v>
      </c>
      <c r="BU36" s="105">
        <f t="shared" si="86"/>
        <v>0</v>
      </c>
      <c r="BV36" s="106">
        <f t="shared" si="118"/>
        <v>0</v>
      </c>
      <c r="BW36" s="107">
        <f t="shared" si="20"/>
        <v>0</v>
      </c>
      <c r="BX36" s="108">
        <f t="shared" si="126"/>
        <v>0</v>
      </c>
      <c r="BY36" s="170">
        <f t="shared" si="140"/>
        <v>0</v>
      </c>
      <c r="BZ36" s="171"/>
      <c r="CA36" s="172"/>
      <c r="CB36" s="173"/>
      <c r="CC36" s="164">
        <f t="shared" si="141"/>
        <v>0</v>
      </c>
      <c r="CD36" s="147"/>
      <c r="CE36" s="161"/>
      <c r="CF36" s="162"/>
      <c r="CG36" s="165">
        <f t="shared" si="87"/>
        <v>148.90900000000002</v>
      </c>
      <c r="CH36" s="166">
        <f t="shared" si="22"/>
        <v>0</v>
      </c>
      <c r="CI36" s="167">
        <f t="shared" si="23"/>
        <v>0</v>
      </c>
      <c r="CJ36" s="168">
        <f t="shared" si="88"/>
        <v>148.90900000000002</v>
      </c>
      <c r="CK36" s="105">
        <f t="shared" si="89"/>
        <v>0</v>
      </c>
      <c r="CL36" s="106">
        <f t="shared" si="119"/>
        <v>0</v>
      </c>
      <c r="CM36" s="107">
        <f t="shared" si="26"/>
        <v>0</v>
      </c>
      <c r="CN36" s="108">
        <f t="shared" si="127"/>
        <v>0</v>
      </c>
      <c r="CO36" s="170">
        <f t="shared" si="142"/>
        <v>0</v>
      </c>
      <c r="CP36" s="171"/>
      <c r="CQ36" s="172"/>
      <c r="CR36" s="173"/>
      <c r="CS36" s="164">
        <f t="shared" si="143"/>
        <v>0</v>
      </c>
      <c r="CT36" s="147"/>
      <c r="CU36" s="161"/>
      <c r="CV36" s="162"/>
      <c r="CW36" s="165">
        <f t="shared" si="90"/>
        <v>148.90900000000002</v>
      </c>
      <c r="CX36" s="166">
        <f t="shared" si="28"/>
        <v>0</v>
      </c>
      <c r="CY36" s="167">
        <f t="shared" si="29"/>
        <v>0</v>
      </c>
      <c r="CZ36" s="168">
        <f t="shared" si="91"/>
        <v>148.90900000000002</v>
      </c>
      <c r="DA36" s="105">
        <f t="shared" si="92"/>
        <v>0</v>
      </c>
      <c r="DB36" s="106">
        <f t="shared" si="120"/>
        <v>0</v>
      </c>
      <c r="DC36" s="107">
        <f t="shared" si="32"/>
        <v>0</v>
      </c>
      <c r="DD36" s="108">
        <f t="shared" si="128"/>
        <v>0</v>
      </c>
      <c r="DE36" s="170">
        <f t="shared" si="144"/>
        <v>17.228999999999999</v>
      </c>
      <c r="DF36" s="171"/>
      <c r="DG36" s="172"/>
      <c r="DH36" s="173">
        <v>17.228999999999999</v>
      </c>
      <c r="DI36" s="164">
        <f t="shared" si="145"/>
        <v>0</v>
      </c>
      <c r="DJ36" s="147"/>
      <c r="DK36" s="161"/>
      <c r="DL36" s="162"/>
      <c r="DM36" s="165">
        <f t="shared" si="93"/>
        <v>166.13800000000003</v>
      </c>
      <c r="DN36" s="166">
        <f t="shared" si="34"/>
        <v>0</v>
      </c>
      <c r="DO36" s="167">
        <f t="shared" si="35"/>
        <v>0</v>
      </c>
      <c r="DP36" s="168">
        <f t="shared" si="94"/>
        <v>166.13800000000003</v>
      </c>
      <c r="DQ36" s="105">
        <f t="shared" si="95"/>
        <v>0</v>
      </c>
      <c r="DR36" s="106">
        <f t="shared" si="121"/>
        <v>0</v>
      </c>
      <c r="DS36" s="107">
        <f t="shared" si="38"/>
        <v>0</v>
      </c>
      <c r="DT36" s="108">
        <f t="shared" si="129"/>
        <v>0</v>
      </c>
      <c r="DU36" s="170">
        <f t="shared" si="146"/>
        <v>0</v>
      </c>
      <c r="DV36" s="171"/>
      <c r="DW36" s="172"/>
      <c r="DX36" s="173"/>
      <c r="DY36" s="164">
        <f t="shared" si="147"/>
        <v>0</v>
      </c>
      <c r="DZ36" s="147"/>
      <c r="EA36" s="161"/>
      <c r="EB36" s="162"/>
      <c r="EC36" s="165">
        <f t="shared" si="96"/>
        <v>166.13800000000003</v>
      </c>
      <c r="ED36" s="166">
        <f t="shared" si="108"/>
        <v>0</v>
      </c>
      <c r="EE36" s="167">
        <f t="shared" si="41"/>
        <v>0</v>
      </c>
      <c r="EF36" s="168">
        <f t="shared" si="97"/>
        <v>166.13800000000003</v>
      </c>
      <c r="EG36" s="105">
        <f t="shared" si="98"/>
        <v>0</v>
      </c>
      <c r="EH36" s="106">
        <f t="shared" si="122"/>
        <v>0</v>
      </c>
      <c r="EI36" s="107">
        <f t="shared" si="44"/>
        <v>0</v>
      </c>
      <c r="EJ36" s="108">
        <f t="shared" si="130"/>
        <v>0</v>
      </c>
      <c r="EK36" s="174">
        <f t="shared" si="0"/>
        <v>167.01300000000001</v>
      </c>
      <c r="EL36" s="174">
        <f t="shared" si="1"/>
        <v>149.78399999999999</v>
      </c>
      <c r="EM36" s="165">
        <f t="shared" si="99"/>
        <v>315.92200000000003</v>
      </c>
      <c r="EN36" s="166"/>
      <c r="EO36" s="167"/>
      <c r="EP36" s="168">
        <v>315.92200000000003</v>
      </c>
      <c r="EQ36" s="105">
        <f t="shared" si="148"/>
        <v>0</v>
      </c>
      <c r="ER36" s="106"/>
      <c r="ES36" s="107"/>
      <c r="ET36" s="108"/>
    </row>
    <row r="37" spans="1:150" s="13" customFormat="1" ht="39.75" hidden="1" customHeight="1" x14ac:dyDescent="0.25">
      <c r="A37" s="142"/>
      <c r="B37" s="103" t="s">
        <v>161</v>
      </c>
      <c r="C37" s="45" t="s">
        <v>160</v>
      </c>
      <c r="D37" s="92" t="s">
        <v>119</v>
      </c>
      <c r="E37" s="105">
        <f t="shared" si="53"/>
        <v>0</v>
      </c>
      <c r="F37" s="106"/>
      <c r="G37" s="107"/>
      <c r="H37" s="108"/>
      <c r="I37" s="105">
        <f t="shared" si="131"/>
        <v>0</v>
      </c>
      <c r="J37" s="106"/>
      <c r="K37" s="107"/>
      <c r="L37" s="108"/>
      <c r="M37" s="105">
        <f t="shared" si="132"/>
        <v>0</v>
      </c>
      <c r="N37" s="106"/>
      <c r="O37" s="107"/>
      <c r="P37" s="108"/>
      <c r="Q37" s="105">
        <f t="shared" si="133"/>
        <v>0</v>
      </c>
      <c r="R37" s="106"/>
      <c r="S37" s="107"/>
      <c r="T37" s="108"/>
      <c r="U37" s="105">
        <f t="shared" ref="U37" si="149">SUM(V37,X37)</f>
        <v>0</v>
      </c>
      <c r="V37" s="106"/>
      <c r="W37" s="107"/>
      <c r="X37" s="108"/>
      <c r="Y37" s="105">
        <f t="shared" ref="Y37" si="150">SUM(Z37,AB37)</f>
        <v>0</v>
      </c>
      <c r="Z37" s="106"/>
      <c r="AA37" s="107"/>
      <c r="AB37" s="108"/>
      <c r="AC37" s="105">
        <f t="shared" si="134"/>
        <v>0</v>
      </c>
      <c r="AD37" s="106"/>
      <c r="AE37" s="107"/>
      <c r="AF37" s="108"/>
      <c r="AG37" s="105">
        <f t="shared" si="135"/>
        <v>0</v>
      </c>
      <c r="AH37" s="106"/>
      <c r="AI37" s="107"/>
      <c r="AJ37" s="108"/>
      <c r="AK37" s="105">
        <f t="shared" si="80"/>
        <v>0</v>
      </c>
      <c r="AL37" s="106"/>
      <c r="AM37" s="107"/>
      <c r="AN37" s="108"/>
      <c r="AO37" s="105">
        <f t="shared" si="81"/>
        <v>0</v>
      </c>
      <c r="AP37" s="106"/>
      <c r="AQ37" s="107"/>
      <c r="AR37" s="108"/>
      <c r="AS37" s="105">
        <f t="shared" si="136"/>
        <v>0</v>
      </c>
      <c r="AT37" s="106"/>
      <c r="AU37" s="107"/>
      <c r="AV37" s="108"/>
      <c r="AW37" s="105">
        <f t="shared" si="137"/>
        <v>0</v>
      </c>
      <c r="AX37" s="106"/>
      <c r="AY37" s="107"/>
      <c r="AZ37" s="108"/>
      <c r="BA37" s="105">
        <f t="shared" si="82"/>
        <v>0</v>
      </c>
      <c r="BB37" s="106"/>
      <c r="BC37" s="107"/>
      <c r="BD37" s="108"/>
      <c r="BE37" s="105">
        <f t="shared" si="83"/>
        <v>0</v>
      </c>
      <c r="BF37" s="106"/>
      <c r="BG37" s="107"/>
      <c r="BH37" s="108"/>
      <c r="BI37" s="105">
        <f t="shared" si="138"/>
        <v>0</v>
      </c>
      <c r="BJ37" s="106"/>
      <c r="BK37" s="107"/>
      <c r="BL37" s="108"/>
      <c r="BM37" s="105">
        <f t="shared" si="139"/>
        <v>0</v>
      </c>
      <c r="BN37" s="106"/>
      <c r="BO37" s="107"/>
      <c r="BP37" s="108"/>
      <c r="BQ37" s="105">
        <f t="shared" si="84"/>
        <v>0</v>
      </c>
      <c r="BR37" s="106"/>
      <c r="BS37" s="107"/>
      <c r="BT37" s="108"/>
      <c r="BU37" s="105">
        <f t="shared" si="86"/>
        <v>0</v>
      </c>
      <c r="BV37" s="106"/>
      <c r="BW37" s="107"/>
      <c r="BX37" s="108"/>
      <c r="BY37" s="164">
        <f t="shared" si="140"/>
        <v>0</v>
      </c>
      <c r="BZ37" s="147"/>
      <c r="CA37" s="161"/>
      <c r="CB37" s="162"/>
      <c r="CC37" s="164">
        <f t="shared" si="141"/>
        <v>0</v>
      </c>
      <c r="CD37" s="147"/>
      <c r="CE37" s="161"/>
      <c r="CF37" s="162"/>
      <c r="CG37" s="105">
        <f t="shared" si="87"/>
        <v>0</v>
      </c>
      <c r="CH37" s="106"/>
      <c r="CI37" s="107"/>
      <c r="CJ37" s="108"/>
      <c r="CK37" s="105">
        <f t="shared" si="89"/>
        <v>0</v>
      </c>
      <c r="CL37" s="106"/>
      <c r="CM37" s="107"/>
      <c r="CN37" s="108"/>
      <c r="CO37" s="164">
        <f t="shared" si="142"/>
        <v>0</v>
      </c>
      <c r="CP37" s="147"/>
      <c r="CQ37" s="161"/>
      <c r="CR37" s="162"/>
      <c r="CS37" s="164">
        <f t="shared" si="143"/>
        <v>0</v>
      </c>
      <c r="CT37" s="147"/>
      <c r="CU37" s="161"/>
      <c r="CV37" s="162"/>
      <c r="CW37" s="105">
        <f t="shared" si="90"/>
        <v>0</v>
      </c>
      <c r="CX37" s="106"/>
      <c r="CY37" s="107"/>
      <c r="CZ37" s="108"/>
      <c r="DA37" s="105">
        <f t="shared" si="92"/>
        <v>0</v>
      </c>
      <c r="DB37" s="106"/>
      <c r="DC37" s="107"/>
      <c r="DD37" s="108"/>
      <c r="DE37" s="164">
        <f t="shared" si="144"/>
        <v>0</v>
      </c>
      <c r="DF37" s="147"/>
      <c r="DG37" s="161"/>
      <c r="DH37" s="162"/>
      <c r="DI37" s="164">
        <f t="shared" si="145"/>
        <v>0</v>
      </c>
      <c r="DJ37" s="147"/>
      <c r="DK37" s="161"/>
      <c r="DL37" s="162"/>
      <c r="DM37" s="105">
        <f t="shared" si="93"/>
        <v>0</v>
      </c>
      <c r="DN37" s="106"/>
      <c r="DO37" s="107"/>
      <c r="DP37" s="108"/>
      <c r="DQ37" s="105">
        <f t="shared" si="95"/>
        <v>0</v>
      </c>
      <c r="DR37" s="106"/>
      <c r="DS37" s="107"/>
      <c r="DT37" s="108"/>
      <c r="DU37" s="164">
        <f t="shared" si="146"/>
        <v>0</v>
      </c>
      <c r="DV37" s="147"/>
      <c r="DW37" s="161"/>
      <c r="DX37" s="162"/>
      <c r="DY37" s="164">
        <f t="shared" si="147"/>
        <v>0</v>
      </c>
      <c r="DZ37" s="147"/>
      <c r="EA37" s="161"/>
      <c r="EB37" s="162"/>
      <c r="EC37" s="105">
        <f t="shared" si="96"/>
        <v>0</v>
      </c>
      <c r="ED37" s="106"/>
      <c r="EE37" s="107"/>
      <c r="EF37" s="108"/>
      <c r="EG37" s="105">
        <f t="shared" si="98"/>
        <v>0</v>
      </c>
      <c r="EH37" s="106"/>
      <c r="EI37" s="107"/>
      <c r="EJ37" s="108"/>
      <c r="EK37" s="153">
        <f t="shared" si="0"/>
        <v>0</v>
      </c>
      <c r="EL37" s="153">
        <f t="shared" si="1"/>
        <v>0</v>
      </c>
      <c r="EM37" s="105">
        <f t="shared" si="99"/>
        <v>0</v>
      </c>
      <c r="EN37" s="106"/>
      <c r="EO37" s="107"/>
      <c r="EP37" s="108"/>
      <c r="EQ37" s="105">
        <f t="shared" si="148"/>
        <v>0</v>
      </c>
      <c r="ER37" s="106"/>
      <c r="ES37" s="107"/>
      <c r="ET37" s="108"/>
    </row>
    <row r="38" spans="1:150" s="4" customFormat="1" ht="20.25" customHeight="1" x14ac:dyDescent="0.3">
      <c r="A38" s="46"/>
      <c r="B38" s="39" t="s">
        <v>8</v>
      </c>
      <c r="C38" s="47" t="s">
        <v>139</v>
      </c>
      <c r="D38" s="94"/>
      <c r="E38" s="148">
        <f>SUM(F38,H38)</f>
        <v>289.43</v>
      </c>
      <c r="F38" s="149">
        <f>SUM(F40:F43)</f>
        <v>287.83</v>
      </c>
      <c r="G38" s="150">
        <f>SUM(G40:G43)</f>
        <v>205.99</v>
      </c>
      <c r="H38" s="151">
        <f>SUM(H40:H43)</f>
        <v>1.6</v>
      </c>
      <c r="I38" s="148">
        <f>SUM(J38,L38)</f>
        <v>0</v>
      </c>
      <c r="J38" s="149">
        <f>SUM(J40:J43)</f>
        <v>0</v>
      </c>
      <c r="K38" s="150">
        <f>SUM(K40:K43)</f>
        <v>0</v>
      </c>
      <c r="L38" s="151">
        <f>SUM(L40:L43)</f>
        <v>0</v>
      </c>
      <c r="M38" s="148">
        <f>SUM(N38,P38)</f>
        <v>0.9</v>
      </c>
      <c r="N38" s="149">
        <f>SUM(N40:N43)</f>
        <v>0.9</v>
      </c>
      <c r="O38" s="150">
        <f>SUM(O40:O43)</f>
        <v>0</v>
      </c>
      <c r="P38" s="151">
        <f>SUM(P40:P43)</f>
        <v>0</v>
      </c>
      <c r="Q38" s="148">
        <f>SUM(R38,T38)</f>
        <v>0</v>
      </c>
      <c r="R38" s="149">
        <f>SUM(R40:R43)</f>
        <v>0</v>
      </c>
      <c r="S38" s="150">
        <f>SUM(S40:S43)</f>
        <v>0</v>
      </c>
      <c r="T38" s="151">
        <f>SUM(T40:T43)</f>
        <v>0</v>
      </c>
      <c r="U38" s="148">
        <f>SUM(V38,X38)</f>
        <v>290.33000000000004</v>
      </c>
      <c r="V38" s="149">
        <f>SUM(V40:V43)</f>
        <v>288.73</v>
      </c>
      <c r="W38" s="150">
        <f>SUM(W40:W43)</f>
        <v>205.99</v>
      </c>
      <c r="X38" s="151">
        <f>SUM(X40:X43)</f>
        <v>1.6</v>
      </c>
      <c r="Y38" s="148">
        <f>SUM(Z38,AB38)</f>
        <v>0</v>
      </c>
      <c r="Z38" s="149">
        <f>SUM(Z40:Z43)</f>
        <v>0</v>
      </c>
      <c r="AA38" s="150">
        <f>SUM(AA40:AA43)</f>
        <v>0</v>
      </c>
      <c r="AB38" s="151">
        <f>SUM(AB40:AB43)</f>
        <v>0</v>
      </c>
      <c r="AC38" s="148">
        <f>SUM(AD38,AF38)</f>
        <v>1.236</v>
      </c>
      <c r="AD38" s="149">
        <f>SUM(AD40:AD43)</f>
        <v>1.236</v>
      </c>
      <c r="AE38" s="150">
        <f>SUM(AE40:AE43)</f>
        <v>0</v>
      </c>
      <c r="AF38" s="151">
        <f>SUM(AF40:AF43)</f>
        <v>0</v>
      </c>
      <c r="AG38" s="148">
        <f>SUM(AH38,AJ38)</f>
        <v>0</v>
      </c>
      <c r="AH38" s="149">
        <f>SUM(AH40:AH43)</f>
        <v>0</v>
      </c>
      <c r="AI38" s="150">
        <f>SUM(AI40:AI43)</f>
        <v>0</v>
      </c>
      <c r="AJ38" s="151">
        <f>SUM(AJ40:AJ43)</f>
        <v>0</v>
      </c>
      <c r="AK38" s="148">
        <f>SUM(AL38,AN38)</f>
        <v>291.56600000000003</v>
      </c>
      <c r="AL38" s="149">
        <f>SUM(AL40:AL43)</f>
        <v>289.96600000000001</v>
      </c>
      <c r="AM38" s="150">
        <f>SUM(AM40:AM43)</f>
        <v>205.99</v>
      </c>
      <c r="AN38" s="151">
        <f>SUM(AN40:AN43)</f>
        <v>1.6</v>
      </c>
      <c r="AO38" s="148">
        <f>SUM(AP38,AR38)</f>
        <v>0</v>
      </c>
      <c r="AP38" s="149">
        <f>SUM(AP40:AP43)</f>
        <v>0</v>
      </c>
      <c r="AQ38" s="150">
        <f>SUM(AQ40:AQ43)</f>
        <v>0</v>
      </c>
      <c r="AR38" s="151">
        <f>SUM(AR40:AR43)</f>
        <v>0</v>
      </c>
      <c r="AS38" s="148">
        <f>SUM(AT38,AV38)</f>
        <v>11.968</v>
      </c>
      <c r="AT38" s="149">
        <f>SUM(AT40:AT43)</f>
        <v>4.2620000000000005</v>
      </c>
      <c r="AU38" s="150">
        <f>SUM(AU40:AU43)</f>
        <v>4.1189999999999998</v>
      </c>
      <c r="AV38" s="151">
        <f>SUM(AV40:AV43)</f>
        <v>7.7060000000000004</v>
      </c>
      <c r="AW38" s="148">
        <f>SUM(AX38,AZ38)</f>
        <v>0</v>
      </c>
      <c r="AX38" s="149">
        <f>SUM(AX40:AX43)</f>
        <v>0</v>
      </c>
      <c r="AY38" s="150">
        <f>SUM(AY40:AY43)</f>
        <v>0</v>
      </c>
      <c r="AZ38" s="151">
        <f>SUM(AZ40:AZ43)</f>
        <v>0</v>
      </c>
      <c r="BA38" s="148">
        <f>SUM(BB38,BD38)</f>
        <v>303.53399999999999</v>
      </c>
      <c r="BB38" s="149">
        <f>SUM(BB40:BB43)</f>
        <v>294.22800000000001</v>
      </c>
      <c r="BC38" s="150">
        <f>SUM(BC40:BC43)</f>
        <v>210.10900000000001</v>
      </c>
      <c r="BD38" s="151">
        <f>SUM(BD40:BD43)</f>
        <v>9.3060000000000009</v>
      </c>
      <c r="BE38" s="148">
        <f>SUM(BF38,BH38)</f>
        <v>0</v>
      </c>
      <c r="BF38" s="149">
        <f>SUM(BF40:BF43)</f>
        <v>0</v>
      </c>
      <c r="BG38" s="150">
        <f>SUM(BG40:BG43)</f>
        <v>0</v>
      </c>
      <c r="BH38" s="151">
        <f>SUM(BH40:BH43)</f>
        <v>0</v>
      </c>
      <c r="BI38" s="148">
        <f>SUM(BJ38,BL38)</f>
        <v>0</v>
      </c>
      <c r="BJ38" s="149">
        <f>SUM(BJ40:BJ43)</f>
        <v>0</v>
      </c>
      <c r="BK38" s="150">
        <f>SUM(BK40:BK43)</f>
        <v>0</v>
      </c>
      <c r="BL38" s="151">
        <f>SUM(BL40:BL43)</f>
        <v>0</v>
      </c>
      <c r="BM38" s="148">
        <f>SUM(BN38,BP38)</f>
        <v>0</v>
      </c>
      <c r="BN38" s="149">
        <f>SUM(BN40:BN43)</f>
        <v>0</v>
      </c>
      <c r="BO38" s="150">
        <f>SUM(BO40:BO43)</f>
        <v>0</v>
      </c>
      <c r="BP38" s="151">
        <f>SUM(BP40:BP43)</f>
        <v>0</v>
      </c>
      <c r="BQ38" s="148">
        <f>SUM(BR38,BT38)</f>
        <v>303.53399999999999</v>
      </c>
      <c r="BR38" s="149">
        <f>SUM(BR40:BR43)</f>
        <v>294.22800000000001</v>
      </c>
      <c r="BS38" s="150">
        <f>SUM(BS40:BS43)</f>
        <v>210.10900000000001</v>
      </c>
      <c r="BT38" s="151">
        <f>SUM(BT40:BT43)</f>
        <v>9.3060000000000009</v>
      </c>
      <c r="BU38" s="148">
        <f>SUM(BV38,BX38)</f>
        <v>0</v>
      </c>
      <c r="BV38" s="149">
        <f>SUM(BV40:BV43)</f>
        <v>0</v>
      </c>
      <c r="BW38" s="150">
        <f>SUM(BW40:BW43)</f>
        <v>0</v>
      </c>
      <c r="BX38" s="151">
        <f>SUM(BX40:BX43)</f>
        <v>0</v>
      </c>
      <c r="BY38" s="175">
        <f>SUM(BZ38,CB38)</f>
        <v>5.9290000000000003</v>
      </c>
      <c r="BZ38" s="176">
        <f>SUM(BZ40:BZ43)</f>
        <v>5.9290000000000003</v>
      </c>
      <c r="CA38" s="177">
        <f>SUM(CA40:CA43)</f>
        <v>0</v>
      </c>
      <c r="CB38" s="178">
        <f>SUM(CB40:CB43)</f>
        <v>0</v>
      </c>
      <c r="CC38" s="175">
        <f>SUM(CD38,CF38)</f>
        <v>0</v>
      </c>
      <c r="CD38" s="176">
        <f>SUM(CD40:CD43)</f>
        <v>0</v>
      </c>
      <c r="CE38" s="177">
        <f>SUM(CE40:CE43)</f>
        <v>0</v>
      </c>
      <c r="CF38" s="178">
        <f>SUM(CF40:CF43)</f>
        <v>0</v>
      </c>
      <c r="CG38" s="148">
        <f>SUM(CH38,CJ38)</f>
        <v>309.46299999999997</v>
      </c>
      <c r="CH38" s="149">
        <f>SUM(CH40:CH43)</f>
        <v>300.15699999999998</v>
      </c>
      <c r="CI38" s="150">
        <f>SUM(CI40:CI43)</f>
        <v>210.10900000000001</v>
      </c>
      <c r="CJ38" s="151">
        <f>SUM(CJ40:CJ43)</f>
        <v>9.3060000000000009</v>
      </c>
      <c r="CK38" s="148">
        <f>SUM(CL38,CN38)</f>
        <v>0</v>
      </c>
      <c r="CL38" s="149">
        <f>SUM(CL40:CL43)</f>
        <v>0</v>
      </c>
      <c r="CM38" s="150">
        <f>SUM(CM40:CM43)</f>
        <v>0</v>
      </c>
      <c r="CN38" s="151">
        <f>SUM(CN40:CN43)</f>
        <v>0</v>
      </c>
      <c r="CO38" s="175">
        <f>SUM(CP38,CR38)</f>
        <v>0</v>
      </c>
      <c r="CP38" s="176">
        <f>SUM(CP40:CP43)</f>
        <v>0</v>
      </c>
      <c r="CQ38" s="177">
        <f>SUM(CQ40:CQ43)</f>
        <v>0</v>
      </c>
      <c r="CR38" s="178">
        <f>SUM(CR40:CR43)</f>
        <v>0</v>
      </c>
      <c r="CS38" s="175">
        <f>SUM(CT38,CV38)</f>
        <v>0</v>
      </c>
      <c r="CT38" s="176">
        <f>SUM(CT40:CT43)</f>
        <v>0</v>
      </c>
      <c r="CU38" s="177">
        <f>SUM(CU40:CU43)</f>
        <v>0</v>
      </c>
      <c r="CV38" s="178">
        <f>SUM(CV40:CV43)</f>
        <v>0</v>
      </c>
      <c r="CW38" s="148">
        <f>SUM(CX38,CZ38)</f>
        <v>309.46299999999997</v>
      </c>
      <c r="CX38" s="149">
        <f>SUM(CX40:CX43)</f>
        <v>300.15699999999998</v>
      </c>
      <c r="CY38" s="150">
        <f>SUM(CY40:CY43)</f>
        <v>210.10900000000001</v>
      </c>
      <c r="CZ38" s="151">
        <f>SUM(CZ40:CZ43)</f>
        <v>9.3060000000000009</v>
      </c>
      <c r="DA38" s="148">
        <f>SUM(DB38,DD38)</f>
        <v>0</v>
      </c>
      <c r="DB38" s="149">
        <f>SUM(DB40:DB43)</f>
        <v>0</v>
      </c>
      <c r="DC38" s="150">
        <f>SUM(DC40:DC43)</f>
        <v>0</v>
      </c>
      <c r="DD38" s="151">
        <f>SUM(DD40:DD43)</f>
        <v>0</v>
      </c>
      <c r="DE38" s="175">
        <f>SUM(DF38,DH38)</f>
        <v>0</v>
      </c>
      <c r="DF38" s="176">
        <f>SUM(DF40:DF43)</f>
        <v>0</v>
      </c>
      <c r="DG38" s="177">
        <f>SUM(DG40:DG43)</f>
        <v>0</v>
      </c>
      <c r="DH38" s="178">
        <f>SUM(DH40:DH43)</f>
        <v>0</v>
      </c>
      <c r="DI38" s="175">
        <f>SUM(DJ38,DL38)</f>
        <v>0</v>
      </c>
      <c r="DJ38" s="176">
        <f>SUM(DJ40:DJ43)</f>
        <v>0</v>
      </c>
      <c r="DK38" s="177">
        <f>SUM(DK40:DK43)</f>
        <v>0</v>
      </c>
      <c r="DL38" s="178">
        <f>SUM(DL40:DL43)</f>
        <v>0</v>
      </c>
      <c r="DM38" s="148">
        <f>SUM(DN38,DP38)</f>
        <v>309.46299999999997</v>
      </c>
      <c r="DN38" s="149">
        <f>SUM(DN40:DN43)</f>
        <v>300.15699999999998</v>
      </c>
      <c r="DO38" s="150">
        <f>SUM(DO40:DO43)</f>
        <v>210.10900000000001</v>
      </c>
      <c r="DP38" s="151">
        <f>SUM(DP40:DP43)</f>
        <v>9.3060000000000009</v>
      </c>
      <c r="DQ38" s="148">
        <f>SUM(DR38,DT38)</f>
        <v>0</v>
      </c>
      <c r="DR38" s="149">
        <f>SUM(DR40:DR43)</f>
        <v>0</v>
      </c>
      <c r="DS38" s="150">
        <f>SUM(DS40:DS43)</f>
        <v>0</v>
      </c>
      <c r="DT38" s="151">
        <f>SUM(DT40:DT43)</f>
        <v>0</v>
      </c>
      <c r="DU38" s="175">
        <f>SUM(DV38,DX38)</f>
        <v>0.05</v>
      </c>
      <c r="DV38" s="176">
        <f>SUM(DV40:DV43)</f>
        <v>0.05</v>
      </c>
      <c r="DW38" s="177">
        <f>SUM(DW40:DW43)</f>
        <v>0</v>
      </c>
      <c r="DX38" s="178">
        <f>SUM(DX40:DX43)</f>
        <v>0</v>
      </c>
      <c r="DY38" s="175">
        <f>SUM(DZ38,EB38)</f>
        <v>0</v>
      </c>
      <c r="DZ38" s="176">
        <f>SUM(DZ40:DZ43)</f>
        <v>0</v>
      </c>
      <c r="EA38" s="177">
        <f>SUM(EA40:EA43)</f>
        <v>0</v>
      </c>
      <c r="EB38" s="178">
        <f>SUM(EB40:EB43)</f>
        <v>0</v>
      </c>
      <c r="EC38" s="148">
        <f>SUM(ED38,EF38)</f>
        <v>309.51299999999992</v>
      </c>
      <c r="ED38" s="149">
        <f>SUM(ED40:ED43)</f>
        <v>300.20699999999994</v>
      </c>
      <c r="EE38" s="150">
        <f>SUM(EE40:EE43)</f>
        <v>210.10900000000001</v>
      </c>
      <c r="EF38" s="151">
        <f>SUM(EF40:EF43)</f>
        <v>9.3060000000000009</v>
      </c>
      <c r="EG38" s="148">
        <f>SUM(EH38,EJ38)</f>
        <v>0</v>
      </c>
      <c r="EH38" s="149">
        <f>SUM(EH40:EH43)</f>
        <v>0</v>
      </c>
      <c r="EI38" s="150">
        <f>SUM(EI40:EI43)</f>
        <v>0</v>
      </c>
      <c r="EJ38" s="151">
        <f>SUM(EJ40:EJ43)</f>
        <v>0</v>
      </c>
      <c r="EK38" s="155">
        <f t="shared" si="0"/>
        <v>1.9199999999999591</v>
      </c>
      <c r="EL38" s="152">
        <f t="shared" si="1"/>
        <v>-18.162999999999954</v>
      </c>
      <c r="EM38" s="148">
        <f>SUM(EN38,EP38)</f>
        <v>291.34999999999997</v>
      </c>
      <c r="EN38" s="149">
        <f>SUM(EN40:EN43)</f>
        <v>290.84999999999997</v>
      </c>
      <c r="EO38" s="150">
        <f>SUM(EO40:EO43)</f>
        <v>206.78999999999996</v>
      </c>
      <c r="EP38" s="151">
        <f>SUM(EP40:EP43)</f>
        <v>0.5</v>
      </c>
      <c r="EQ38" s="148">
        <f>SUM(ER38,ET38)</f>
        <v>0.4</v>
      </c>
      <c r="ER38" s="149">
        <f>SUM(ER40:ER43)</f>
        <v>0.4</v>
      </c>
      <c r="ES38" s="150">
        <f>SUM(ES40:ES43)</f>
        <v>0.39</v>
      </c>
      <c r="ET38" s="151">
        <f>SUM(ET40:ET43)</f>
        <v>0</v>
      </c>
    </row>
    <row r="39" spans="1:150" s="4" customFormat="1" ht="18" customHeight="1" x14ac:dyDescent="0.3">
      <c r="A39" s="40"/>
      <c r="B39" s="6" t="s">
        <v>2</v>
      </c>
      <c r="C39" s="49"/>
      <c r="D39" s="93"/>
      <c r="E39" s="105"/>
      <c r="F39" s="106"/>
      <c r="G39" s="107"/>
      <c r="H39" s="108"/>
      <c r="I39" s="105"/>
      <c r="J39" s="106"/>
      <c r="K39" s="107"/>
      <c r="L39" s="108"/>
      <c r="M39" s="105"/>
      <c r="N39" s="106"/>
      <c r="O39" s="107"/>
      <c r="P39" s="108"/>
      <c r="Q39" s="105"/>
      <c r="R39" s="106"/>
      <c r="S39" s="107"/>
      <c r="T39" s="108"/>
      <c r="U39" s="105"/>
      <c r="V39" s="106"/>
      <c r="W39" s="107"/>
      <c r="X39" s="108"/>
      <c r="Y39" s="105"/>
      <c r="Z39" s="106"/>
      <c r="AA39" s="107"/>
      <c r="AB39" s="108"/>
      <c r="AC39" s="105"/>
      <c r="AD39" s="106"/>
      <c r="AE39" s="107"/>
      <c r="AF39" s="108"/>
      <c r="AG39" s="105"/>
      <c r="AH39" s="106"/>
      <c r="AI39" s="107"/>
      <c r="AJ39" s="108"/>
      <c r="AK39" s="105"/>
      <c r="AL39" s="106"/>
      <c r="AM39" s="107"/>
      <c r="AN39" s="108"/>
      <c r="AO39" s="105"/>
      <c r="AP39" s="106"/>
      <c r="AQ39" s="107"/>
      <c r="AR39" s="108"/>
      <c r="AS39" s="105"/>
      <c r="AT39" s="106"/>
      <c r="AU39" s="107"/>
      <c r="AV39" s="108"/>
      <c r="AW39" s="105"/>
      <c r="AX39" s="106"/>
      <c r="AY39" s="107"/>
      <c r="AZ39" s="108"/>
      <c r="BA39" s="105"/>
      <c r="BB39" s="106"/>
      <c r="BC39" s="107"/>
      <c r="BD39" s="108"/>
      <c r="BE39" s="105"/>
      <c r="BF39" s="106"/>
      <c r="BG39" s="107"/>
      <c r="BH39" s="108"/>
      <c r="BI39" s="105"/>
      <c r="BJ39" s="106"/>
      <c r="BK39" s="107"/>
      <c r="BL39" s="108"/>
      <c r="BM39" s="105"/>
      <c r="BN39" s="106"/>
      <c r="BO39" s="107"/>
      <c r="BP39" s="108"/>
      <c r="BQ39" s="105"/>
      <c r="BR39" s="106"/>
      <c r="BS39" s="107"/>
      <c r="BT39" s="108"/>
      <c r="BU39" s="105"/>
      <c r="BV39" s="106"/>
      <c r="BW39" s="107"/>
      <c r="BX39" s="108"/>
      <c r="BY39" s="164"/>
      <c r="BZ39" s="147"/>
      <c r="CA39" s="161"/>
      <c r="CB39" s="162"/>
      <c r="CC39" s="164"/>
      <c r="CD39" s="147"/>
      <c r="CE39" s="161"/>
      <c r="CF39" s="162"/>
      <c r="CG39" s="105"/>
      <c r="CH39" s="106"/>
      <c r="CI39" s="107"/>
      <c r="CJ39" s="108"/>
      <c r="CK39" s="105"/>
      <c r="CL39" s="106"/>
      <c r="CM39" s="107"/>
      <c r="CN39" s="108"/>
      <c r="CO39" s="164"/>
      <c r="CP39" s="147"/>
      <c r="CQ39" s="161"/>
      <c r="CR39" s="162"/>
      <c r="CS39" s="164"/>
      <c r="CT39" s="147"/>
      <c r="CU39" s="161"/>
      <c r="CV39" s="162"/>
      <c r="CW39" s="105"/>
      <c r="CX39" s="106"/>
      <c r="CY39" s="107"/>
      <c r="CZ39" s="108"/>
      <c r="DA39" s="105"/>
      <c r="DB39" s="106"/>
      <c r="DC39" s="107"/>
      <c r="DD39" s="108"/>
      <c r="DE39" s="164"/>
      <c r="DF39" s="147"/>
      <c r="DG39" s="161"/>
      <c r="DH39" s="162"/>
      <c r="DI39" s="164"/>
      <c r="DJ39" s="147"/>
      <c r="DK39" s="161"/>
      <c r="DL39" s="162"/>
      <c r="DM39" s="105"/>
      <c r="DN39" s="106"/>
      <c r="DO39" s="107"/>
      <c r="DP39" s="108"/>
      <c r="DQ39" s="105"/>
      <c r="DR39" s="106"/>
      <c r="DS39" s="107"/>
      <c r="DT39" s="108"/>
      <c r="DU39" s="164"/>
      <c r="DV39" s="147"/>
      <c r="DW39" s="161"/>
      <c r="DX39" s="162"/>
      <c r="DY39" s="164"/>
      <c r="DZ39" s="147"/>
      <c r="EA39" s="161"/>
      <c r="EB39" s="162"/>
      <c r="EC39" s="105"/>
      <c r="ED39" s="106"/>
      <c r="EE39" s="107"/>
      <c r="EF39" s="108"/>
      <c r="EG39" s="105"/>
      <c r="EH39" s="106"/>
      <c r="EI39" s="107"/>
      <c r="EJ39" s="108"/>
      <c r="EK39" s="153">
        <f t="shared" si="0"/>
        <v>0</v>
      </c>
      <c r="EL39" s="153">
        <f t="shared" si="1"/>
        <v>0</v>
      </c>
      <c r="EM39" s="105"/>
      <c r="EN39" s="106"/>
      <c r="EO39" s="107"/>
      <c r="EP39" s="108"/>
      <c r="EQ39" s="105"/>
      <c r="ER39" s="106"/>
      <c r="ES39" s="107"/>
      <c r="ET39" s="108"/>
    </row>
    <row r="40" spans="1:150" s="4" customFormat="1" ht="24" customHeight="1" x14ac:dyDescent="0.25">
      <c r="A40" s="704" t="s">
        <v>26</v>
      </c>
      <c r="B40" s="702" t="s">
        <v>42</v>
      </c>
      <c r="C40" s="48" t="s">
        <v>27</v>
      </c>
      <c r="D40" s="93" t="s">
        <v>37</v>
      </c>
      <c r="E40" s="105">
        <f>SUM(F40,H40)</f>
        <v>260.55</v>
      </c>
      <c r="F40" s="106">
        <f>254.05+4.9</f>
        <v>258.95</v>
      </c>
      <c r="G40" s="107">
        <f>202.16+4.83-1</f>
        <v>205.99</v>
      </c>
      <c r="H40" s="108">
        <v>1.6</v>
      </c>
      <c r="I40" s="105">
        <f>SUM(J40,L40)</f>
        <v>0</v>
      </c>
      <c r="J40" s="106"/>
      <c r="K40" s="107"/>
      <c r="L40" s="108"/>
      <c r="M40" s="105">
        <f>SUM(N40,P40)</f>
        <v>0</v>
      </c>
      <c r="N40" s="106"/>
      <c r="O40" s="107"/>
      <c r="P40" s="108"/>
      <c r="Q40" s="105">
        <f>SUM(R40,T40)</f>
        <v>0</v>
      </c>
      <c r="R40" s="106"/>
      <c r="S40" s="107"/>
      <c r="T40" s="108"/>
      <c r="U40" s="105">
        <f t="shared" ref="U40" si="151">SUM(V40,X40)</f>
        <v>260.55</v>
      </c>
      <c r="V40" s="106">
        <f t="shared" ref="V40" si="152">F40+N40</f>
        <v>258.95</v>
      </c>
      <c r="W40" s="107">
        <f t="shared" ref="W40" si="153">G40+O40</f>
        <v>205.99</v>
      </c>
      <c r="X40" s="108">
        <f t="shared" ref="X40" si="154">H40+P40</f>
        <v>1.6</v>
      </c>
      <c r="Y40" s="105">
        <f t="shared" ref="Y40" si="155">SUM(Z40,AB40)</f>
        <v>0</v>
      </c>
      <c r="Z40" s="106">
        <f t="shared" ref="Z40" si="156">J40+R40</f>
        <v>0</v>
      </c>
      <c r="AA40" s="107">
        <f t="shared" ref="AA40" si="157">K40+S40</f>
        <v>0</v>
      </c>
      <c r="AB40" s="108">
        <f t="shared" ref="AB40" si="158">L40+T40</f>
        <v>0</v>
      </c>
      <c r="AC40" s="105">
        <f>SUM(AD40,AF40)</f>
        <v>0.51</v>
      </c>
      <c r="AD40" s="106">
        <v>0.51</v>
      </c>
      <c r="AE40" s="107"/>
      <c r="AF40" s="108"/>
      <c r="AG40" s="105">
        <f>SUM(AH40,AJ40)</f>
        <v>0</v>
      </c>
      <c r="AH40" s="106"/>
      <c r="AI40" s="107"/>
      <c r="AJ40" s="108"/>
      <c r="AK40" s="105">
        <f t="shared" ref="AK40:AK42" si="159">SUM(AL40,AN40)</f>
        <v>261.06</v>
      </c>
      <c r="AL40" s="106">
        <f t="shared" ref="AL40:AL42" si="160">V40+AD40</f>
        <v>259.45999999999998</v>
      </c>
      <c r="AM40" s="107">
        <f t="shared" ref="AM40:AM42" si="161">W40+AE40</f>
        <v>205.99</v>
      </c>
      <c r="AN40" s="108">
        <f t="shared" ref="AN40:AN42" si="162">X40+AF40</f>
        <v>1.6</v>
      </c>
      <c r="AO40" s="105">
        <f t="shared" ref="AO40:AO42" si="163">SUM(AP40,AR40)</f>
        <v>0</v>
      </c>
      <c r="AP40" s="106">
        <f t="shared" ref="AP40:AP42" si="164">Z40+AH40</f>
        <v>0</v>
      </c>
      <c r="AQ40" s="107">
        <f t="shared" ref="AQ40:AQ42" si="165">AA40+AI40</f>
        <v>0</v>
      </c>
      <c r="AR40" s="108">
        <f t="shared" ref="AR40:AR42" si="166">AB40+AJ40</f>
        <v>0</v>
      </c>
      <c r="AS40" s="105">
        <f>SUM(AT40,AV40)</f>
        <v>4.2620000000000005</v>
      </c>
      <c r="AT40" s="106">
        <f>4.179+0.083</f>
        <v>4.2620000000000005</v>
      </c>
      <c r="AU40" s="107">
        <v>4.1189999999999998</v>
      </c>
      <c r="AV40" s="108"/>
      <c r="AW40" s="105">
        <f>SUM(AX40,AZ40)</f>
        <v>0</v>
      </c>
      <c r="AX40" s="106"/>
      <c r="AY40" s="107"/>
      <c r="AZ40" s="108"/>
      <c r="BA40" s="105">
        <f t="shared" ref="BA40:BA43" si="167">SUM(BB40,BD40)</f>
        <v>265.322</v>
      </c>
      <c r="BB40" s="106">
        <f t="shared" ref="BB40:BB43" si="168">AL40+AT40</f>
        <v>263.72199999999998</v>
      </c>
      <c r="BC40" s="107">
        <f>AM40+AU40</f>
        <v>210.10900000000001</v>
      </c>
      <c r="BD40" s="108">
        <f t="shared" ref="BD40:BD43" si="169">AN40+AV40</f>
        <v>1.6</v>
      </c>
      <c r="BE40" s="105">
        <f t="shared" ref="BE40:BE42" si="170">SUM(BF40,BH40)</f>
        <v>0</v>
      </c>
      <c r="BF40" s="106">
        <f t="shared" ref="BF40:BF42" si="171">AP40+AX40</f>
        <v>0</v>
      </c>
      <c r="BG40" s="107">
        <f t="shared" ref="BG40:BG42" si="172">AQ40+AY40</f>
        <v>0</v>
      </c>
      <c r="BH40" s="108">
        <f t="shared" ref="BH40:BH42" si="173">AR40+AZ40</f>
        <v>0</v>
      </c>
      <c r="BI40" s="105">
        <f>SUM(BJ40,BL40)</f>
        <v>0</v>
      </c>
      <c r="BJ40" s="106"/>
      <c r="BK40" s="107"/>
      <c r="BL40" s="108"/>
      <c r="BM40" s="105">
        <f>SUM(BN40,BP40)</f>
        <v>0</v>
      </c>
      <c r="BN40" s="106"/>
      <c r="BO40" s="107"/>
      <c r="BP40" s="108"/>
      <c r="BQ40" s="105">
        <f t="shared" ref="BQ40:BQ43" si="174">SUM(BR40,BT40)</f>
        <v>265.322</v>
      </c>
      <c r="BR40" s="106">
        <f t="shared" ref="BR40:BR43" si="175">BB40+BJ40</f>
        <v>263.72199999999998</v>
      </c>
      <c r="BS40" s="107">
        <f>BC40+BK40</f>
        <v>210.10900000000001</v>
      </c>
      <c r="BT40" s="108">
        <f t="shared" ref="BT40:BT43" si="176">BD40+BL40</f>
        <v>1.6</v>
      </c>
      <c r="BU40" s="105">
        <f t="shared" ref="BU40:BU42" si="177">SUM(BV40,BX40)</f>
        <v>0</v>
      </c>
      <c r="BV40" s="106">
        <f t="shared" ref="BV40:BV42" si="178">BF40+BN40</f>
        <v>0</v>
      </c>
      <c r="BW40" s="107">
        <f t="shared" ref="BW40:BW42" si="179">BG40+BO40</f>
        <v>0</v>
      </c>
      <c r="BX40" s="108">
        <f t="shared" ref="BX40:BX42" si="180">BH40+BP40</f>
        <v>0</v>
      </c>
      <c r="BY40" s="164">
        <f>SUM(BZ40,CB40)</f>
        <v>0</v>
      </c>
      <c r="BZ40" s="147"/>
      <c r="CA40" s="161"/>
      <c r="CB40" s="162"/>
      <c r="CC40" s="164">
        <f>SUM(CD40,CF40)</f>
        <v>0</v>
      </c>
      <c r="CD40" s="147"/>
      <c r="CE40" s="161"/>
      <c r="CF40" s="162"/>
      <c r="CG40" s="105">
        <f t="shared" ref="CG40:CG43" si="181">SUM(CH40,CJ40)</f>
        <v>265.322</v>
      </c>
      <c r="CH40" s="106">
        <f t="shared" ref="CH40:CH43" si="182">BR40+BZ40</f>
        <v>263.72199999999998</v>
      </c>
      <c r="CI40" s="107">
        <f>BS40+CA40</f>
        <v>210.10900000000001</v>
      </c>
      <c r="CJ40" s="108">
        <f t="shared" ref="CJ40:CJ43" si="183">BT40+CB40</f>
        <v>1.6</v>
      </c>
      <c r="CK40" s="105">
        <f t="shared" ref="CK40:CK42" si="184">SUM(CL40,CN40)</f>
        <v>0</v>
      </c>
      <c r="CL40" s="106">
        <f t="shared" ref="CL40:CL42" si="185">BV40+CD40</f>
        <v>0</v>
      </c>
      <c r="CM40" s="107">
        <f t="shared" ref="CM40:CM42" si="186">BW40+CE40</f>
        <v>0</v>
      </c>
      <c r="CN40" s="108">
        <f t="shared" ref="CN40:CN42" si="187">BX40+CF40</f>
        <v>0</v>
      </c>
      <c r="CO40" s="164">
        <f>SUM(CP40,CR40)</f>
        <v>0</v>
      </c>
      <c r="CP40" s="147"/>
      <c r="CQ40" s="161"/>
      <c r="CR40" s="162"/>
      <c r="CS40" s="164">
        <f>SUM(CT40,CV40)</f>
        <v>0</v>
      </c>
      <c r="CT40" s="147"/>
      <c r="CU40" s="161"/>
      <c r="CV40" s="162"/>
      <c r="CW40" s="105">
        <f t="shared" ref="CW40:CW43" si="188">SUM(CX40,CZ40)</f>
        <v>265.322</v>
      </c>
      <c r="CX40" s="106">
        <f t="shared" ref="CX40:CX43" si="189">CH40+CP40</f>
        <v>263.72199999999998</v>
      </c>
      <c r="CY40" s="107">
        <f>CI40+CQ40</f>
        <v>210.10900000000001</v>
      </c>
      <c r="CZ40" s="108">
        <f t="shared" ref="CZ40:CZ43" si="190">CJ40+CR40</f>
        <v>1.6</v>
      </c>
      <c r="DA40" s="105">
        <f t="shared" ref="DA40:DA42" si="191">SUM(DB40,DD40)</f>
        <v>0</v>
      </c>
      <c r="DB40" s="106">
        <f t="shared" ref="DB40:DB42" si="192">CL40+CT40</f>
        <v>0</v>
      </c>
      <c r="DC40" s="107">
        <f t="shared" ref="DC40:DC42" si="193">CM40+CU40</f>
        <v>0</v>
      </c>
      <c r="DD40" s="108">
        <f t="shared" ref="DD40:DD42" si="194">CN40+CV40</f>
        <v>0</v>
      </c>
      <c r="DE40" s="164">
        <f>SUM(DF40,DH40)</f>
        <v>0</v>
      </c>
      <c r="DF40" s="147"/>
      <c r="DG40" s="161"/>
      <c r="DH40" s="162"/>
      <c r="DI40" s="164">
        <f>SUM(DJ40,DL40)</f>
        <v>0</v>
      </c>
      <c r="DJ40" s="147"/>
      <c r="DK40" s="161"/>
      <c r="DL40" s="162"/>
      <c r="DM40" s="105">
        <f t="shared" ref="DM40:DM43" si="195">SUM(DN40,DP40)</f>
        <v>265.322</v>
      </c>
      <c r="DN40" s="106">
        <f t="shared" ref="DN40:DN43" si="196">CX40+DF40</f>
        <v>263.72199999999998</v>
      </c>
      <c r="DO40" s="107">
        <f>CY40+DG40</f>
        <v>210.10900000000001</v>
      </c>
      <c r="DP40" s="108">
        <f t="shared" ref="DP40:DP43" si="197">CZ40+DH40</f>
        <v>1.6</v>
      </c>
      <c r="DQ40" s="105">
        <f t="shared" ref="DQ40:DQ42" si="198">SUM(DR40,DT40)</f>
        <v>0</v>
      </c>
      <c r="DR40" s="106">
        <f t="shared" ref="DR40:DR42" si="199">DB40+DJ40</f>
        <v>0</v>
      </c>
      <c r="DS40" s="107">
        <f t="shared" ref="DS40:DS42" si="200">DC40+DK40</f>
        <v>0</v>
      </c>
      <c r="DT40" s="108">
        <f t="shared" ref="DT40:DT42" si="201">DD40+DL40</f>
        <v>0</v>
      </c>
      <c r="DU40" s="164">
        <f>SUM(DV40,DX40)</f>
        <v>0</v>
      </c>
      <c r="DV40" s="147"/>
      <c r="DW40" s="161"/>
      <c r="DX40" s="162"/>
      <c r="DY40" s="164">
        <f>SUM(DZ40,EB40)</f>
        <v>0</v>
      </c>
      <c r="DZ40" s="147"/>
      <c r="EA40" s="161"/>
      <c r="EB40" s="162"/>
      <c r="EC40" s="105">
        <f t="shared" ref="EC40:EC43" si="202">SUM(ED40,EF40)</f>
        <v>265.322</v>
      </c>
      <c r="ED40" s="106">
        <f t="shared" ref="ED40:ED43" si="203">DN40+DV40</f>
        <v>263.72199999999998</v>
      </c>
      <c r="EE40" s="107">
        <f>DO40+DW40</f>
        <v>210.10900000000001</v>
      </c>
      <c r="EF40" s="108">
        <f t="shared" ref="EF40:EF43" si="204">DP40+DX40</f>
        <v>1.6</v>
      </c>
      <c r="EG40" s="105">
        <f t="shared" ref="EG40:EG42" si="205">SUM(EH40,EJ40)</f>
        <v>0</v>
      </c>
      <c r="EH40" s="106">
        <f t="shared" ref="EH40:EH42" si="206">DR40+DZ40</f>
        <v>0</v>
      </c>
      <c r="EI40" s="107">
        <f t="shared" ref="EI40:EI42" si="207">DS40+EA40</f>
        <v>0</v>
      </c>
      <c r="EJ40" s="108">
        <f t="shared" ref="EJ40:EJ42" si="208">DT40+EB40</f>
        <v>0</v>
      </c>
      <c r="EK40" s="163">
        <f t="shared" si="0"/>
        <v>2.9099999999999682</v>
      </c>
      <c r="EL40" s="154">
        <f t="shared" si="1"/>
        <v>-1.8620000000000232</v>
      </c>
      <c r="EM40" s="105">
        <f>SUM(EN40,EP40)</f>
        <v>263.45999999999998</v>
      </c>
      <c r="EN40" s="106">
        <f>ER40+261.99+0.57</f>
        <v>262.95999999999998</v>
      </c>
      <c r="EO40" s="107">
        <f>ES40+207.2-0.8</f>
        <v>206.78999999999996</v>
      </c>
      <c r="EP40" s="108">
        <v>0.5</v>
      </c>
      <c r="EQ40" s="105">
        <f>SUM(ER40,ET40)</f>
        <v>0.4</v>
      </c>
      <c r="ER40" s="106">
        <v>0.4</v>
      </c>
      <c r="ES40" s="107">
        <v>0.39</v>
      </c>
      <c r="ET40" s="108"/>
    </row>
    <row r="41" spans="1:150" s="4" customFormat="1" ht="22.5" customHeight="1" x14ac:dyDescent="0.25">
      <c r="A41" s="705"/>
      <c r="B41" s="703"/>
      <c r="C41" s="48" t="s">
        <v>50</v>
      </c>
      <c r="D41" s="139" t="s">
        <v>52</v>
      </c>
      <c r="E41" s="105">
        <f>SUM(F41,H41)</f>
        <v>26.7</v>
      </c>
      <c r="F41" s="106">
        <f>26.7</f>
        <v>26.7</v>
      </c>
      <c r="G41" s="107"/>
      <c r="H41" s="108"/>
      <c r="I41" s="105">
        <f>SUM(J41,L41)</f>
        <v>0</v>
      </c>
      <c r="J41" s="106"/>
      <c r="K41" s="107"/>
      <c r="L41" s="108"/>
      <c r="M41" s="105">
        <f>SUM(N41,P41)</f>
        <v>0.9</v>
      </c>
      <c r="N41" s="106">
        <v>0.9</v>
      </c>
      <c r="O41" s="107"/>
      <c r="P41" s="108"/>
      <c r="Q41" s="105">
        <f>SUM(R41,T41)</f>
        <v>0</v>
      </c>
      <c r="R41" s="106"/>
      <c r="S41" s="107"/>
      <c r="T41" s="108"/>
      <c r="U41" s="105">
        <f t="shared" ref="U41:U42" si="209">SUM(V41,X41)</f>
        <v>27.599999999999998</v>
      </c>
      <c r="V41" s="106">
        <f t="shared" ref="V41:V42" si="210">F41+N41</f>
        <v>27.599999999999998</v>
      </c>
      <c r="W41" s="107">
        <f t="shared" ref="W41:W42" si="211">G41+O41</f>
        <v>0</v>
      </c>
      <c r="X41" s="108">
        <f t="shared" ref="X41:X42" si="212">H41+P41</f>
        <v>0</v>
      </c>
      <c r="Y41" s="105">
        <f t="shared" ref="Y41:Y42" si="213">SUM(Z41,AB41)</f>
        <v>0</v>
      </c>
      <c r="Z41" s="106">
        <f t="shared" ref="Z41:Z42" si="214">J41+R41</f>
        <v>0</v>
      </c>
      <c r="AA41" s="107">
        <f t="shared" ref="AA41:AA42" si="215">K41+S41</f>
        <v>0</v>
      </c>
      <c r="AB41" s="108">
        <f t="shared" ref="AB41:AB42" si="216">L41+T41</f>
        <v>0</v>
      </c>
      <c r="AC41" s="105">
        <f>SUM(AD41,AF41)</f>
        <v>0</v>
      </c>
      <c r="AD41" s="106"/>
      <c r="AE41" s="107"/>
      <c r="AF41" s="108"/>
      <c r="AG41" s="105">
        <f>SUM(AH41,AJ41)</f>
        <v>0</v>
      </c>
      <c r="AH41" s="106"/>
      <c r="AI41" s="107"/>
      <c r="AJ41" s="108"/>
      <c r="AK41" s="105">
        <f t="shared" si="159"/>
        <v>27.599999999999998</v>
      </c>
      <c r="AL41" s="106">
        <f t="shared" si="160"/>
        <v>27.599999999999998</v>
      </c>
      <c r="AM41" s="107">
        <f t="shared" si="161"/>
        <v>0</v>
      </c>
      <c r="AN41" s="108">
        <f t="shared" si="162"/>
        <v>0</v>
      </c>
      <c r="AO41" s="105">
        <f t="shared" si="163"/>
        <v>0</v>
      </c>
      <c r="AP41" s="106">
        <f t="shared" si="164"/>
        <v>0</v>
      </c>
      <c r="AQ41" s="107">
        <f t="shared" si="165"/>
        <v>0</v>
      </c>
      <c r="AR41" s="108">
        <f t="shared" si="166"/>
        <v>0</v>
      </c>
      <c r="AS41" s="105">
        <f>SUM(AT41,AV41)</f>
        <v>0</v>
      </c>
      <c r="AT41" s="106"/>
      <c r="AU41" s="107"/>
      <c r="AV41" s="108"/>
      <c r="AW41" s="105">
        <f>SUM(AX41,AZ41)</f>
        <v>0</v>
      </c>
      <c r="AX41" s="106"/>
      <c r="AY41" s="107"/>
      <c r="AZ41" s="108"/>
      <c r="BA41" s="105">
        <f t="shared" si="167"/>
        <v>27.599999999999998</v>
      </c>
      <c r="BB41" s="106">
        <f t="shared" si="168"/>
        <v>27.599999999999998</v>
      </c>
      <c r="BC41" s="107">
        <f t="shared" ref="BC41:BC42" si="217">AM41+AU41</f>
        <v>0</v>
      </c>
      <c r="BD41" s="108">
        <f t="shared" si="169"/>
        <v>0</v>
      </c>
      <c r="BE41" s="105">
        <f t="shared" si="170"/>
        <v>0</v>
      </c>
      <c r="BF41" s="106">
        <f t="shared" si="171"/>
        <v>0</v>
      </c>
      <c r="BG41" s="107">
        <f t="shared" si="172"/>
        <v>0</v>
      </c>
      <c r="BH41" s="108">
        <f t="shared" si="173"/>
        <v>0</v>
      </c>
      <c r="BI41" s="105">
        <f>SUM(BJ41,BL41)</f>
        <v>0</v>
      </c>
      <c r="BJ41" s="106"/>
      <c r="BK41" s="107"/>
      <c r="BL41" s="108"/>
      <c r="BM41" s="105">
        <f>SUM(BN41,BP41)</f>
        <v>0</v>
      </c>
      <c r="BN41" s="106"/>
      <c r="BO41" s="107"/>
      <c r="BP41" s="108"/>
      <c r="BQ41" s="105">
        <f t="shared" si="174"/>
        <v>27.599999999999998</v>
      </c>
      <c r="BR41" s="106">
        <f t="shared" si="175"/>
        <v>27.599999999999998</v>
      </c>
      <c r="BS41" s="107">
        <f t="shared" ref="BS41:BS42" si="218">BC41+BK41</f>
        <v>0</v>
      </c>
      <c r="BT41" s="108">
        <f t="shared" si="176"/>
        <v>0</v>
      </c>
      <c r="BU41" s="105">
        <f t="shared" si="177"/>
        <v>0</v>
      </c>
      <c r="BV41" s="106">
        <f t="shared" si="178"/>
        <v>0</v>
      </c>
      <c r="BW41" s="107">
        <f t="shared" si="179"/>
        <v>0</v>
      </c>
      <c r="BX41" s="108">
        <f t="shared" si="180"/>
        <v>0</v>
      </c>
      <c r="BY41" s="164">
        <f>SUM(BZ41,CB41)</f>
        <v>0</v>
      </c>
      <c r="BZ41" s="147"/>
      <c r="CA41" s="161"/>
      <c r="CB41" s="162"/>
      <c r="CC41" s="164">
        <f>SUM(CD41,CF41)</f>
        <v>0</v>
      </c>
      <c r="CD41" s="147"/>
      <c r="CE41" s="161"/>
      <c r="CF41" s="162"/>
      <c r="CG41" s="105">
        <f t="shared" si="181"/>
        <v>27.599999999999998</v>
      </c>
      <c r="CH41" s="106">
        <f t="shared" si="182"/>
        <v>27.599999999999998</v>
      </c>
      <c r="CI41" s="107">
        <f t="shared" ref="CI41:CI42" si="219">BS41+CA41</f>
        <v>0</v>
      </c>
      <c r="CJ41" s="108">
        <f t="shared" si="183"/>
        <v>0</v>
      </c>
      <c r="CK41" s="105">
        <f t="shared" si="184"/>
        <v>0</v>
      </c>
      <c r="CL41" s="106">
        <f t="shared" si="185"/>
        <v>0</v>
      </c>
      <c r="CM41" s="107">
        <f t="shared" si="186"/>
        <v>0</v>
      </c>
      <c r="CN41" s="108">
        <f t="shared" si="187"/>
        <v>0</v>
      </c>
      <c r="CO41" s="164">
        <f>SUM(CP41,CR41)</f>
        <v>0</v>
      </c>
      <c r="CP41" s="147"/>
      <c r="CQ41" s="161"/>
      <c r="CR41" s="162"/>
      <c r="CS41" s="164">
        <f>SUM(CT41,CV41)</f>
        <v>0</v>
      </c>
      <c r="CT41" s="147"/>
      <c r="CU41" s="161"/>
      <c r="CV41" s="162"/>
      <c r="CW41" s="105">
        <f t="shared" si="188"/>
        <v>27.599999999999998</v>
      </c>
      <c r="CX41" s="106">
        <f t="shared" si="189"/>
        <v>27.599999999999998</v>
      </c>
      <c r="CY41" s="107">
        <f t="shared" ref="CY41:CY42" si="220">CI41+CQ41</f>
        <v>0</v>
      </c>
      <c r="CZ41" s="108">
        <f t="shared" si="190"/>
        <v>0</v>
      </c>
      <c r="DA41" s="105">
        <f t="shared" si="191"/>
        <v>0</v>
      </c>
      <c r="DB41" s="106">
        <f t="shared" si="192"/>
        <v>0</v>
      </c>
      <c r="DC41" s="107">
        <f t="shared" si="193"/>
        <v>0</v>
      </c>
      <c r="DD41" s="108">
        <f t="shared" si="194"/>
        <v>0</v>
      </c>
      <c r="DE41" s="164">
        <f>SUM(DF41,DH41)</f>
        <v>0</v>
      </c>
      <c r="DF41" s="147"/>
      <c r="DG41" s="161"/>
      <c r="DH41" s="162"/>
      <c r="DI41" s="164">
        <f>SUM(DJ41,DL41)</f>
        <v>0</v>
      </c>
      <c r="DJ41" s="147"/>
      <c r="DK41" s="161"/>
      <c r="DL41" s="162"/>
      <c r="DM41" s="105">
        <f t="shared" si="195"/>
        <v>27.599999999999998</v>
      </c>
      <c r="DN41" s="106">
        <f t="shared" si="196"/>
        <v>27.599999999999998</v>
      </c>
      <c r="DO41" s="107">
        <f t="shared" ref="DO41:DO42" si="221">CY41+DG41</f>
        <v>0</v>
      </c>
      <c r="DP41" s="108">
        <f t="shared" si="197"/>
        <v>0</v>
      </c>
      <c r="DQ41" s="105">
        <f t="shared" si="198"/>
        <v>0</v>
      </c>
      <c r="DR41" s="106">
        <f t="shared" si="199"/>
        <v>0</v>
      </c>
      <c r="DS41" s="107">
        <f t="shared" si="200"/>
        <v>0</v>
      </c>
      <c r="DT41" s="108">
        <f t="shared" si="201"/>
        <v>0</v>
      </c>
      <c r="DU41" s="164">
        <f>SUM(DV41,DX41)</f>
        <v>0.05</v>
      </c>
      <c r="DV41" s="147">
        <v>0.05</v>
      </c>
      <c r="DW41" s="161"/>
      <c r="DX41" s="162"/>
      <c r="DY41" s="164">
        <f>SUM(DZ41,EB41)</f>
        <v>0</v>
      </c>
      <c r="DZ41" s="147"/>
      <c r="EA41" s="161"/>
      <c r="EB41" s="162"/>
      <c r="EC41" s="105">
        <f t="shared" si="202"/>
        <v>27.65</v>
      </c>
      <c r="ED41" s="106">
        <f t="shared" si="203"/>
        <v>27.65</v>
      </c>
      <c r="EE41" s="107">
        <f t="shared" ref="EE41:EE42" si="222">DO41+DW41</f>
        <v>0</v>
      </c>
      <c r="EF41" s="108">
        <f t="shared" si="204"/>
        <v>0</v>
      </c>
      <c r="EG41" s="105">
        <f t="shared" si="205"/>
        <v>0</v>
      </c>
      <c r="EH41" s="106">
        <f t="shared" si="206"/>
        <v>0</v>
      </c>
      <c r="EI41" s="107">
        <f t="shared" si="207"/>
        <v>0</v>
      </c>
      <c r="EJ41" s="108">
        <f t="shared" si="208"/>
        <v>0</v>
      </c>
      <c r="EK41" s="154">
        <f t="shared" si="0"/>
        <v>-0.30000000000000071</v>
      </c>
      <c r="EL41" s="154">
        <f t="shared" si="1"/>
        <v>-1.25</v>
      </c>
      <c r="EM41" s="105">
        <f>SUM(EN41,EP41)</f>
        <v>26.4</v>
      </c>
      <c r="EN41" s="106">
        <v>26.4</v>
      </c>
      <c r="EO41" s="107"/>
      <c r="EP41" s="108"/>
      <c r="EQ41" s="105">
        <f>SUM(ER41,ET41)</f>
        <v>0</v>
      </c>
      <c r="ER41" s="106"/>
      <c r="ES41" s="107"/>
      <c r="ET41" s="108"/>
    </row>
    <row r="42" spans="1:150" s="4" customFormat="1" ht="23.25" customHeight="1" x14ac:dyDescent="0.25">
      <c r="A42" s="139" t="s">
        <v>33</v>
      </c>
      <c r="B42" s="25" t="s">
        <v>47</v>
      </c>
      <c r="C42" s="48" t="s">
        <v>51</v>
      </c>
      <c r="D42" s="139" t="s">
        <v>37</v>
      </c>
      <c r="E42" s="105">
        <f>SUM(F42,H42)</f>
        <v>2.1800000000000002</v>
      </c>
      <c r="F42" s="106">
        <v>2.1800000000000002</v>
      </c>
      <c r="G42" s="107"/>
      <c r="H42" s="108"/>
      <c r="I42" s="105">
        <f>SUM(J42,L42)</f>
        <v>0</v>
      </c>
      <c r="J42" s="106"/>
      <c r="K42" s="107"/>
      <c r="L42" s="108"/>
      <c r="M42" s="105">
        <f>SUM(N42,P42)</f>
        <v>0</v>
      </c>
      <c r="N42" s="106"/>
      <c r="O42" s="107"/>
      <c r="P42" s="108"/>
      <c r="Q42" s="105">
        <f>SUM(R42,T42)</f>
        <v>0</v>
      </c>
      <c r="R42" s="106"/>
      <c r="S42" s="107"/>
      <c r="T42" s="108"/>
      <c r="U42" s="105">
        <f t="shared" si="209"/>
        <v>2.1800000000000002</v>
      </c>
      <c r="V42" s="106">
        <f t="shared" si="210"/>
        <v>2.1800000000000002</v>
      </c>
      <c r="W42" s="107">
        <f t="shared" si="211"/>
        <v>0</v>
      </c>
      <c r="X42" s="108">
        <f t="shared" si="212"/>
        <v>0</v>
      </c>
      <c r="Y42" s="105">
        <f t="shared" si="213"/>
        <v>0</v>
      </c>
      <c r="Z42" s="106">
        <f t="shared" si="214"/>
        <v>0</v>
      </c>
      <c r="AA42" s="107">
        <f t="shared" si="215"/>
        <v>0</v>
      </c>
      <c r="AB42" s="108">
        <f t="shared" si="216"/>
        <v>0</v>
      </c>
      <c r="AC42" s="105">
        <f>SUM(AD42,AF42)</f>
        <v>0</v>
      </c>
      <c r="AD42" s="106"/>
      <c r="AE42" s="107"/>
      <c r="AF42" s="108"/>
      <c r="AG42" s="105">
        <f>SUM(AH42,AJ42)</f>
        <v>0</v>
      </c>
      <c r="AH42" s="106"/>
      <c r="AI42" s="107"/>
      <c r="AJ42" s="108"/>
      <c r="AK42" s="105">
        <f t="shared" si="159"/>
        <v>2.1800000000000002</v>
      </c>
      <c r="AL42" s="106">
        <f t="shared" si="160"/>
        <v>2.1800000000000002</v>
      </c>
      <c r="AM42" s="107">
        <f t="shared" si="161"/>
        <v>0</v>
      </c>
      <c r="AN42" s="108">
        <f t="shared" si="162"/>
        <v>0</v>
      </c>
      <c r="AO42" s="105">
        <f t="shared" si="163"/>
        <v>0</v>
      </c>
      <c r="AP42" s="106">
        <f t="shared" si="164"/>
        <v>0</v>
      </c>
      <c r="AQ42" s="107">
        <f t="shared" si="165"/>
        <v>0</v>
      </c>
      <c r="AR42" s="108">
        <f t="shared" si="166"/>
        <v>0</v>
      </c>
      <c r="AS42" s="105">
        <f>SUM(AT42,AV42)</f>
        <v>0</v>
      </c>
      <c r="AT42" s="106"/>
      <c r="AU42" s="107"/>
      <c r="AV42" s="108"/>
      <c r="AW42" s="105">
        <f>SUM(AX42,AZ42)</f>
        <v>0</v>
      </c>
      <c r="AX42" s="106"/>
      <c r="AY42" s="107"/>
      <c r="AZ42" s="108"/>
      <c r="BA42" s="105">
        <f t="shared" si="167"/>
        <v>2.1800000000000002</v>
      </c>
      <c r="BB42" s="106">
        <f t="shared" si="168"/>
        <v>2.1800000000000002</v>
      </c>
      <c r="BC42" s="107">
        <f t="shared" si="217"/>
        <v>0</v>
      </c>
      <c r="BD42" s="108">
        <f t="shared" si="169"/>
        <v>0</v>
      </c>
      <c r="BE42" s="105">
        <f t="shared" si="170"/>
        <v>0</v>
      </c>
      <c r="BF42" s="106">
        <f t="shared" si="171"/>
        <v>0</v>
      </c>
      <c r="BG42" s="107">
        <f t="shared" si="172"/>
        <v>0</v>
      </c>
      <c r="BH42" s="108">
        <f t="shared" si="173"/>
        <v>0</v>
      </c>
      <c r="BI42" s="105">
        <f>SUM(BJ42,BL42)</f>
        <v>0</v>
      </c>
      <c r="BJ42" s="106"/>
      <c r="BK42" s="107"/>
      <c r="BL42" s="108"/>
      <c r="BM42" s="105">
        <f>SUM(BN42,BP42)</f>
        <v>0</v>
      </c>
      <c r="BN42" s="106"/>
      <c r="BO42" s="107"/>
      <c r="BP42" s="108"/>
      <c r="BQ42" s="105">
        <f t="shared" si="174"/>
        <v>2.1800000000000002</v>
      </c>
      <c r="BR42" s="106">
        <f t="shared" si="175"/>
        <v>2.1800000000000002</v>
      </c>
      <c r="BS42" s="107">
        <f t="shared" si="218"/>
        <v>0</v>
      </c>
      <c r="BT42" s="108">
        <f t="shared" si="176"/>
        <v>0</v>
      </c>
      <c r="BU42" s="105">
        <f t="shared" si="177"/>
        <v>0</v>
      </c>
      <c r="BV42" s="106">
        <f t="shared" si="178"/>
        <v>0</v>
      </c>
      <c r="BW42" s="107">
        <f t="shared" si="179"/>
        <v>0</v>
      </c>
      <c r="BX42" s="108">
        <f t="shared" si="180"/>
        <v>0</v>
      </c>
      <c r="BY42" s="164">
        <f>SUM(BZ42,CB42)</f>
        <v>0</v>
      </c>
      <c r="BZ42" s="147"/>
      <c r="CA42" s="161"/>
      <c r="CB42" s="162"/>
      <c r="CC42" s="164">
        <f>SUM(CD42,CF42)</f>
        <v>0</v>
      </c>
      <c r="CD42" s="147"/>
      <c r="CE42" s="161"/>
      <c r="CF42" s="162"/>
      <c r="CG42" s="105">
        <f t="shared" si="181"/>
        <v>2.1800000000000002</v>
      </c>
      <c r="CH42" s="106">
        <f t="shared" si="182"/>
        <v>2.1800000000000002</v>
      </c>
      <c r="CI42" s="107">
        <f t="shared" si="219"/>
        <v>0</v>
      </c>
      <c r="CJ42" s="108">
        <f t="shared" si="183"/>
        <v>0</v>
      </c>
      <c r="CK42" s="105">
        <f t="shared" si="184"/>
        <v>0</v>
      </c>
      <c r="CL42" s="106">
        <f t="shared" si="185"/>
        <v>0</v>
      </c>
      <c r="CM42" s="107">
        <f t="shared" si="186"/>
        <v>0</v>
      </c>
      <c r="CN42" s="108">
        <f t="shared" si="187"/>
        <v>0</v>
      </c>
      <c r="CO42" s="164">
        <f>SUM(CP42,CR42)</f>
        <v>0</v>
      </c>
      <c r="CP42" s="147"/>
      <c r="CQ42" s="161"/>
      <c r="CR42" s="162"/>
      <c r="CS42" s="164">
        <f>SUM(CT42,CV42)</f>
        <v>0</v>
      </c>
      <c r="CT42" s="147"/>
      <c r="CU42" s="161"/>
      <c r="CV42" s="162"/>
      <c r="CW42" s="105">
        <f t="shared" si="188"/>
        <v>2.1800000000000002</v>
      </c>
      <c r="CX42" s="106">
        <f t="shared" si="189"/>
        <v>2.1800000000000002</v>
      </c>
      <c r="CY42" s="107">
        <f t="shared" si="220"/>
        <v>0</v>
      </c>
      <c r="CZ42" s="108">
        <f t="shared" si="190"/>
        <v>0</v>
      </c>
      <c r="DA42" s="105">
        <f t="shared" si="191"/>
        <v>0</v>
      </c>
      <c r="DB42" s="106">
        <f t="shared" si="192"/>
        <v>0</v>
      </c>
      <c r="DC42" s="107">
        <f t="shared" si="193"/>
        <v>0</v>
      </c>
      <c r="DD42" s="108">
        <f t="shared" si="194"/>
        <v>0</v>
      </c>
      <c r="DE42" s="164">
        <f>SUM(DF42,DH42)</f>
        <v>0</v>
      </c>
      <c r="DF42" s="147"/>
      <c r="DG42" s="161"/>
      <c r="DH42" s="162"/>
      <c r="DI42" s="164">
        <f>SUM(DJ42,DL42)</f>
        <v>0</v>
      </c>
      <c r="DJ42" s="147"/>
      <c r="DK42" s="161"/>
      <c r="DL42" s="162"/>
      <c r="DM42" s="105">
        <f t="shared" si="195"/>
        <v>2.1800000000000002</v>
      </c>
      <c r="DN42" s="106">
        <f t="shared" si="196"/>
        <v>2.1800000000000002</v>
      </c>
      <c r="DO42" s="107">
        <f t="shared" si="221"/>
        <v>0</v>
      </c>
      <c r="DP42" s="108">
        <f t="shared" si="197"/>
        <v>0</v>
      </c>
      <c r="DQ42" s="105">
        <f t="shared" si="198"/>
        <v>0</v>
      </c>
      <c r="DR42" s="106">
        <f t="shared" si="199"/>
        <v>0</v>
      </c>
      <c r="DS42" s="107">
        <f t="shared" si="200"/>
        <v>0</v>
      </c>
      <c r="DT42" s="108">
        <f t="shared" si="201"/>
        <v>0</v>
      </c>
      <c r="DU42" s="164">
        <f>SUM(DV42,DX42)</f>
        <v>0</v>
      </c>
      <c r="DV42" s="147"/>
      <c r="DW42" s="161"/>
      <c r="DX42" s="162"/>
      <c r="DY42" s="164">
        <f>SUM(DZ42,EB42)</f>
        <v>0</v>
      </c>
      <c r="DZ42" s="147"/>
      <c r="EA42" s="161"/>
      <c r="EB42" s="162"/>
      <c r="EC42" s="105">
        <f t="shared" si="202"/>
        <v>2.1800000000000002</v>
      </c>
      <c r="ED42" s="106">
        <f t="shared" si="203"/>
        <v>2.1800000000000002</v>
      </c>
      <c r="EE42" s="107">
        <f t="shared" si="222"/>
        <v>0</v>
      </c>
      <c r="EF42" s="108">
        <f t="shared" si="204"/>
        <v>0</v>
      </c>
      <c r="EG42" s="105">
        <f t="shared" si="205"/>
        <v>0</v>
      </c>
      <c r="EH42" s="106">
        <f t="shared" si="206"/>
        <v>0</v>
      </c>
      <c r="EI42" s="107">
        <f t="shared" si="207"/>
        <v>0</v>
      </c>
      <c r="EJ42" s="108">
        <f t="shared" si="208"/>
        <v>0</v>
      </c>
      <c r="EK42" s="154">
        <f t="shared" si="0"/>
        <v>-0.69000000000000017</v>
      </c>
      <c r="EL42" s="154">
        <f t="shared" si="1"/>
        <v>-0.69000000000000017</v>
      </c>
      <c r="EM42" s="105">
        <f>SUM(EN42,EP42)</f>
        <v>1.49</v>
      </c>
      <c r="EN42" s="106">
        <v>1.49</v>
      </c>
      <c r="EO42" s="107"/>
      <c r="EP42" s="108"/>
      <c r="EQ42" s="105">
        <f>SUM(ER42,ET42)</f>
        <v>0</v>
      </c>
      <c r="ER42" s="106"/>
      <c r="ES42" s="107"/>
      <c r="ET42" s="108"/>
    </row>
    <row r="43" spans="1:150" s="4" customFormat="1" ht="22.5" customHeight="1" x14ac:dyDescent="0.25">
      <c r="A43" s="139" t="s">
        <v>7</v>
      </c>
      <c r="B43" s="25" t="s">
        <v>49</v>
      </c>
      <c r="C43" s="48" t="s">
        <v>143</v>
      </c>
      <c r="D43" s="139" t="s">
        <v>37</v>
      </c>
      <c r="E43" s="105">
        <f>SUM(F43,H43)</f>
        <v>0</v>
      </c>
      <c r="F43" s="106"/>
      <c r="G43" s="107"/>
      <c r="H43" s="108"/>
      <c r="I43" s="105">
        <f>SUM(J43,L43)</f>
        <v>0</v>
      </c>
      <c r="J43" s="106"/>
      <c r="K43" s="107"/>
      <c r="L43" s="108"/>
      <c r="M43" s="105">
        <f>SUM(N43,P43)</f>
        <v>0</v>
      </c>
      <c r="N43" s="106"/>
      <c r="O43" s="107"/>
      <c r="P43" s="108"/>
      <c r="Q43" s="105">
        <f>SUM(R43,T43)</f>
        <v>0</v>
      </c>
      <c r="R43" s="106"/>
      <c r="S43" s="107"/>
      <c r="T43" s="108"/>
      <c r="U43" s="105">
        <f>SUM(V43,X43)</f>
        <v>0</v>
      </c>
      <c r="V43" s="106"/>
      <c r="W43" s="107"/>
      <c r="X43" s="108"/>
      <c r="Y43" s="105">
        <f>SUM(Z43,AB43)</f>
        <v>0</v>
      </c>
      <c r="Z43" s="106"/>
      <c r="AA43" s="107"/>
      <c r="AB43" s="108"/>
      <c r="AC43" s="105">
        <f>SUM(AD43,AF43)</f>
        <v>0.72599999999999998</v>
      </c>
      <c r="AD43" s="106">
        <v>0.72599999999999998</v>
      </c>
      <c r="AE43" s="107"/>
      <c r="AF43" s="108"/>
      <c r="AG43" s="105">
        <f>SUM(AH43,AJ43)</f>
        <v>0</v>
      </c>
      <c r="AH43" s="106"/>
      <c r="AI43" s="107"/>
      <c r="AJ43" s="108"/>
      <c r="AK43" s="105">
        <f t="shared" ref="AK43" si="223">SUM(AL43,AN43)</f>
        <v>0.72599999999999998</v>
      </c>
      <c r="AL43" s="106">
        <f t="shared" ref="AL43" si="224">V43+AD43</f>
        <v>0.72599999999999998</v>
      </c>
      <c r="AM43" s="107"/>
      <c r="AN43" s="108"/>
      <c r="AO43" s="105">
        <f>SUM(AP43,AR43)</f>
        <v>0</v>
      </c>
      <c r="AP43" s="106"/>
      <c r="AQ43" s="107"/>
      <c r="AR43" s="108"/>
      <c r="AS43" s="105">
        <f>SUM(AT43,AV43)</f>
        <v>7.7060000000000004</v>
      </c>
      <c r="AT43" s="106"/>
      <c r="AU43" s="107"/>
      <c r="AV43" s="108">
        <v>7.7060000000000004</v>
      </c>
      <c r="AW43" s="105">
        <f>SUM(AX43,AZ43)</f>
        <v>0</v>
      </c>
      <c r="AX43" s="106"/>
      <c r="AY43" s="107"/>
      <c r="AZ43" s="108"/>
      <c r="BA43" s="105">
        <f t="shared" si="167"/>
        <v>8.4320000000000004</v>
      </c>
      <c r="BB43" s="106">
        <f t="shared" si="168"/>
        <v>0.72599999999999998</v>
      </c>
      <c r="BC43" s="107"/>
      <c r="BD43" s="108">
        <f t="shared" si="169"/>
        <v>7.7060000000000004</v>
      </c>
      <c r="BE43" s="105">
        <f>SUM(BF43,BH43)</f>
        <v>0</v>
      </c>
      <c r="BF43" s="106"/>
      <c r="BG43" s="107"/>
      <c r="BH43" s="108"/>
      <c r="BI43" s="105">
        <f>SUM(BJ43,BL43)</f>
        <v>0</v>
      </c>
      <c r="BJ43" s="106"/>
      <c r="BK43" s="107"/>
      <c r="BL43" s="108"/>
      <c r="BM43" s="105">
        <f>SUM(BN43,BP43)</f>
        <v>0</v>
      </c>
      <c r="BN43" s="106"/>
      <c r="BO43" s="107"/>
      <c r="BP43" s="108"/>
      <c r="BQ43" s="105">
        <f t="shared" si="174"/>
        <v>8.4320000000000004</v>
      </c>
      <c r="BR43" s="106">
        <f t="shared" si="175"/>
        <v>0.72599999999999998</v>
      </c>
      <c r="BS43" s="107"/>
      <c r="BT43" s="108">
        <f t="shared" si="176"/>
        <v>7.7060000000000004</v>
      </c>
      <c r="BU43" s="105">
        <f>SUM(BV43,BX43)</f>
        <v>0</v>
      </c>
      <c r="BV43" s="106"/>
      <c r="BW43" s="107"/>
      <c r="BX43" s="108"/>
      <c r="BY43" s="164">
        <f>SUM(BZ43,CB43)</f>
        <v>5.9290000000000003</v>
      </c>
      <c r="BZ43" s="147">
        <v>5.9290000000000003</v>
      </c>
      <c r="CA43" s="161"/>
      <c r="CB43" s="162"/>
      <c r="CC43" s="164">
        <f>SUM(CD43,CF43)</f>
        <v>0</v>
      </c>
      <c r="CD43" s="147"/>
      <c r="CE43" s="161"/>
      <c r="CF43" s="162"/>
      <c r="CG43" s="105">
        <f t="shared" si="181"/>
        <v>14.361000000000001</v>
      </c>
      <c r="CH43" s="106">
        <f t="shared" si="182"/>
        <v>6.6550000000000002</v>
      </c>
      <c r="CI43" s="107"/>
      <c r="CJ43" s="108">
        <f t="shared" si="183"/>
        <v>7.7060000000000004</v>
      </c>
      <c r="CK43" s="105">
        <f>SUM(CL43,CN43)</f>
        <v>0</v>
      </c>
      <c r="CL43" s="106"/>
      <c r="CM43" s="107"/>
      <c r="CN43" s="108"/>
      <c r="CO43" s="164">
        <f>SUM(CP43,CR43)</f>
        <v>0</v>
      </c>
      <c r="CP43" s="147"/>
      <c r="CQ43" s="161"/>
      <c r="CR43" s="162"/>
      <c r="CS43" s="164">
        <f>SUM(CT43,CV43)</f>
        <v>0</v>
      </c>
      <c r="CT43" s="147"/>
      <c r="CU43" s="161"/>
      <c r="CV43" s="162"/>
      <c r="CW43" s="105">
        <f t="shared" si="188"/>
        <v>14.361000000000001</v>
      </c>
      <c r="CX43" s="106">
        <f t="shared" si="189"/>
        <v>6.6550000000000002</v>
      </c>
      <c r="CY43" s="107"/>
      <c r="CZ43" s="108">
        <f t="shared" si="190"/>
        <v>7.7060000000000004</v>
      </c>
      <c r="DA43" s="105">
        <f>SUM(DB43,DD43)</f>
        <v>0</v>
      </c>
      <c r="DB43" s="106"/>
      <c r="DC43" s="107"/>
      <c r="DD43" s="108"/>
      <c r="DE43" s="164">
        <f>SUM(DF43,DH43)</f>
        <v>0</v>
      </c>
      <c r="DF43" s="147"/>
      <c r="DG43" s="161"/>
      <c r="DH43" s="162"/>
      <c r="DI43" s="164">
        <f>SUM(DJ43,DL43)</f>
        <v>0</v>
      </c>
      <c r="DJ43" s="147"/>
      <c r="DK43" s="161"/>
      <c r="DL43" s="162"/>
      <c r="DM43" s="105">
        <f t="shared" si="195"/>
        <v>14.361000000000001</v>
      </c>
      <c r="DN43" s="106">
        <f t="shared" si="196"/>
        <v>6.6550000000000002</v>
      </c>
      <c r="DO43" s="107"/>
      <c r="DP43" s="108">
        <f t="shared" si="197"/>
        <v>7.7060000000000004</v>
      </c>
      <c r="DQ43" s="105">
        <f>SUM(DR43,DT43)</f>
        <v>0</v>
      </c>
      <c r="DR43" s="106"/>
      <c r="DS43" s="107"/>
      <c r="DT43" s="108"/>
      <c r="DU43" s="164">
        <f>SUM(DV43,DX43)</f>
        <v>0</v>
      </c>
      <c r="DV43" s="147"/>
      <c r="DW43" s="161"/>
      <c r="DX43" s="162"/>
      <c r="DY43" s="164">
        <f>SUM(DZ43,EB43)</f>
        <v>0</v>
      </c>
      <c r="DZ43" s="147"/>
      <c r="EA43" s="161"/>
      <c r="EB43" s="162"/>
      <c r="EC43" s="105">
        <f t="shared" si="202"/>
        <v>14.361000000000001</v>
      </c>
      <c r="ED43" s="106">
        <f t="shared" si="203"/>
        <v>6.6550000000000002</v>
      </c>
      <c r="EE43" s="107"/>
      <c r="EF43" s="108">
        <f t="shared" si="204"/>
        <v>7.7060000000000004</v>
      </c>
      <c r="EG43" s="105">
        <f>SUM(EH43,EJ43)</f>
        <v>0</v>
      </c>
      <c r="EH43" s="106"/>
      <c r="EI43" s="107"/>
      <c r="EJ43" s="108"/>
      <c r="EK43" s="153">
        <f t="shared" si="0"/>
        <v>0</v>
      </c>
      <c r="EL43" s="154">
        <f t="shared" si="1"/>
        <v>-14.361000000000001</v>
      </c>
      <c r="EM43" s="105">
        <f>SUM(EN43,EP43)</f>
        <v>0</v>
      </c>
      <c r="EN43" s="106"/>
      <c r="EO43" s="107"/>
      <c r="EP43" s="108"/>
      <c r="EQ43" s="105">
        <f>SUM(ER43,ET43)</f>
        <v>0</v>
      </c>
      <c r="ER43" s="106"/>
      <c r="ES43" s="107"/>
      <c r="ET43" s="108"/>
    </row>
    <row r="44" spans="1:150" ht="21.75" customHeight="1" x14ac:dyDescent="0.3">
      <c r="A44" s="38"/>
      <c r="B44" s="39" t="s">
        <v>156</v>
      </c>
      <c r="C44" s="47" t="s">
        <v>142</v>
      </c>
      <c r="D44" s="93"/>
      <c r="E44" s="148">
        <f>SUM(F44,H44)</f>
        <v>295.83700000000005</v>
      </c>
      <c r="F44" s="149">
        <f>SUM(F46:F49)</f>
        <v>293.59700000000004</v>
      </c>
      <c r="G44" s="150">
        <f>SUM(G46:G49)</f>
        <v>188.29999999999998</v>
      </c>
      <c r="H44" s="151">
        <f>SUM(H46:H49)</f>
        <v>2.2400000000000002</v>
      </c>
      <c r="I44" s="148">
        <f>SUM(J44,L44)</f>
        <v>0.70699999999999996</v>
      </c>
      <c r="J44" s="149">
        <f>SUM(J46:J48)</f>
        <v>0.70699999999999996</v>
      </c>
      <c r="K44" s="150">
        <f>SUM(K46:K48)</f>
        <v>0</v>
      </c>
      <c r="L44" s="151">
        <f>SUM(L46:L48)</f>
        <v>0</v>
      </c>
      <c r="M44" s="148">
        <f>SUM(N44,P44)</f>
        <v>0</v>
      </c>
      <c r="N44" s="149">
        <f>SUM(N46:N49)</f>
        <v>0</v>
      </c>
      <c r="O44" s="150">
        <f>SUM(O46:O49)</f>
        <v>0</v>
      </c>
      <c r="P44" s="151">
        <f>SUM(P46:P49)</f>
        <v>0</v>
      </c>
      <c r="Q44" s="148">
        <f>SUM(R44,T44)</f>
        <v>0</v>
      </c>
      <c r="R44" s="149">
        <f>SUM(R46:R48)</f>
        <v>0</v>
      </c>
      <c r="S44" s="150">
        <f>SUM(S46:S48)</f>
        <v>0</v>
      </c>
      <c r="T44" s="151">
        <f>SUM(T46:T48)</f>
        <v>0</v>
      </c>
      <c r="U44" s="148">
        <f>SUM(V44,X44)</f>
        <v>295.83700000000005</v>
      </c>
      <c r="V44" s="149">
        <f>SUM(V46:V49)</f>
        <v>293.59700000000004</v>
      </c>
      <c r="W44" s="150">
        <f>SUM(W46:W49)</f>
        <v>188.29999999999998</v>
      </c>
      <c r="X44" s="151">
        <f>SUM(X46:X49)</f>
        <v>2.2400000000000002</v>
      </c>
      <c r="Y44" s="148">
        <f>SUM(Z44,AB44)</f>
        <v>0.70699999999999996</v>
      </c>
      <c r="Z44" s="149">
        <f>SUM(Z46:Z48)</f>
        <v>0.70699999999999996</v>
      </c>
      <c r="AA44" s="150">
        <f>SUM(AA46:AA48)</f>
        <v>0</v>
      </c>
      <c r="AB44" s="151">
        <f>SUM(AB46:AB48)</f>
        <v>0</v>
      </c>
      <c r="AC44" s="148">
        <f>SUM(AD44,AF44)</f>
        <v>1.46</v>
      </c>
      <c r="AD44" s="149">
        <f>SUM(AD46:AD49)</f>
        <v>1.46</v>
      </c>
      <c r="AE44" s="150">
        <f>SUM(AE46:AE49)</f>
        <v>0</v>
      </c>
      <c r="AF44" s="151">
        <f>SUM(AF46:AF49)</f>
        <v>0</v>
      </c>
      <c r="AG44" s="148">
        <f>SUM(AH44,AJ44)</f>
        <v>0</v>
      </c>
      <c r="AH44" s="149">
        <f>SUM(AH46:AH48)</f>
        <v>0</v>
      </c>
      <c r="AI44" s="150">
        <f>SUM(AI46:AI48)</f>
        <v>0</v>
      </c>
      <c r="AJ44" s="151">
        <f>SUM(AJ46:AJ48)</f>
        <v>0</v>
      </c>
      <c r="AK44" s="148">
        <f>SUM(AL44,AN44)</f>
        <v>297.29700000000003</v>
      </c>
      <c r="AL44" s="149">
        <f>SUM(AL46:AL49)</f>
        <v>295.05700000000002</v>
      </c>
      <c r="AM44" s="150">
        <f>SUM(AM46:AM49)</f>
        <v>188.29999999999998</v>
      </c>
      <c r="AN44" s="151">
        <f>SUM(AN46:AN49)</f>
        <v>2.2400000000000002</v>
      </c>
      <c r="AO44" s="148">
        <f>SUM(AP44,AR44)</f>
        <v>0.70699999999999996</v>
      </c>
      <c r="AP44" s="149">
        <f>SUM(AP46:AP48)</f>
        <v>0.70699999999999996</v>
      </c>
      <c r="AQ44" s="150">
        <f>SUM(AQ46:AQ48)</f>
        <v>0</v>
      </c>
      <c r="AR44" s="151">
        <f>SUM(AR46:AR48)</f>
        <v>0</v>
      </c>
      <c r="AS44" s="148">
        <f>SUM(AT44,AV44)</f>
        <v>21.043999999999997</v>
      </c>
      <c r="AT44" s="149">
        <f>SUM(AT46:AT49)</f>
        <v>9.0039999999999996</v>
      </c>
      <c r="AU44" s="150">
        <f>SUM(AU46:AU49)</f>
        <v>3.1739999999999999</v>
      </c>
      <c r="AV44" s="151">
        <f>SUM(AV46:AV49)</f>
        <v>12.04</v>
      </c>
      <c r="AW44" s="148">
        <f>SUM(AX44,AZ44)</f>
        <v>0</v>
      </c>
      <c r="AX44" s="149">
        <f>SUM(AX46:AX48)</f>
        <v>0</v>
      </c>
      <c r="AY44" s="150">
        <f>SUM(AY46:AY48)</f>
        <v>0</v>
      </c>
      <c r="AZ44" s="151">
        <f>SUM(AZ46:AZ48)</f>
        <v>0</v>
      </c>
      <c r="BA44" s="148">
        <f>SUM(BB44,BD44)</f>
        <v>318.34100000000001</v>
      </c>
      <c r="BB44" s="149">
        <f>SUM(BB46:BB49)</f>
        <v>304.06100000000004</v>
      </c>
      <c r="BC44" s="150">
        <f>SUM(BC46:BC49)</f>
        <v>191.47399999999999</v>
      </c>
      <c r="BD44" s="151">
        <f>SUM(BD46:BD49)</f>
        <v>14.28</v>
      </c>
      <c r="BE44" s="148">
        <f>SUM(BF44,BH44)</f>
        <v>0.70699999999999996</v>
      </c>
      <c r="BF44" s="149">
        <f>SUM(BF46:BF48)</f>
        <v>0.70699999999999996</v>
      </c>
      <c r="BG44" s="150">
        <f>SUM(BG46:BG48)</f>
        <v>0</v>
      </c>
      <c r="BH44" s="151">
        <f>SUM(BH46:BH48)</f>
        <v>0</v>
      </c>
      <c r="BI44" s="148">
        <f>SUM(BJ44,BL44)</f>
        <v>0</v>
      </c>
      <c r="BJ44" s="149">
        <f>SUM(BJ46:BJ49)</f>
        <v>0</v>
      </c>
      <c r="BK44" s="150">
        <f>SUM(BK46:BK49)</f>
        <v>0</v>
      </c>
      <c r="BL44" s="151">
        <f>SUM(BL46:BL49)</f>
        <v>0</v>
      </c>
      <c r="BM44" s="148">
        <f>SUM(BN44,BP44)</f>
        <v>0</v>
      </c>
      <c r="BN44" s="149">
        <f>SUM(BN46:BN48)</f>
        <v>0</v>
      </c>
      <c r="BO44" s="150">
        <f>SUM(BO46:BO48)</f>
        <v>0</v>
      </c>
      <c r="BP44" s="151">
        <f>SUM(BP46:BP48)</f>
        <v>0</v>
      </c>
      <c r="BQ44" s="148">
        <f>SUM(BR44,BT44)</f>
        <v>318.34100000000001</v>
      </c>
      <c r="BR44" s="149">
        <f>SUM(BR46:BR49)</f>
        <v>304.06100000000004</v>
      </c>
      <c r="BS44" s="150">
        <f>SUM(BS46:BS49)</f>
        <v>191.47399999999999</v>
      </c>
      <c r="BT44" s="151">
        <f>SUM(BT46:BT49)</f>
        <v>14.28</v>
      </c>
      <c r="BU44" s="148">
        <f>SUM(BV44,BX44)</f>
        <v>0.70699999999999996</v>
      </c>
      <c r="BV44" s="149">
        <f>SUM(BV46:BV48)</f>
        <v>0.70699999999999996</v>
      </c>
      <c r="BW44" s="150">
        <f>SUM(BW46:BW48)</f>
        <v>0</v>
      </c>
      <c r="BX44" s="151">
        <f>SUM(BX46:BX48)</f>
        <v>0</v>
      </c>
      <c r="BY44" s="175">
        <f>SUM(BZ44,CB44)</f>
        <v>0</v>
      </c>
      <c r="BZ44" s="176">
        <f>SUM(BZ46:BZ49)</f>
        <v>12.04</v>
      </c>
      <c r="CA44" s="177">
        <f>SUM(CA46:CA49)</f>
        <v>0</v>
      </c>
      <c r="CB44" s="178">
        <f>SUM(CB46:CB49)</f>
        <v>-12.04</v>
      </c>
      <c r="CC44" s="175">
        <f>SUM(CD44,CF44)</f>
        <v>0</v>
      </c>
      <c r="CD44" s="176">
        <f>SUM(CD46:CD48)</f>
        <v>0</v>
      </c>
      <c r="CE44" s="177">
        <f>SUM(CE46:CE48)</f>
        <v>0</v>
      </c>
      <c r="CF44" s="178">
        <f>SUM(CF46:CF48)</f>
        <v>0</v>
      </c>
      <c r="CG44" s="148">
        <f>SUM(CH44,CJ44)</f>
        <v>318.34100000000007</v>
      </c>
      <c r="CH44" s="149">
        <f>SUM(CH46:CH49)</f>
        <v>316.10100000000006</v>
      </c>
      <c r="CI44" s="150">
        <f>SUM(CI46:CI49)</f>
        <v>191.47399999999999</v>
      </c>
      <c r="CJ44" s="151">
        <f>SUM(CJ46:CJ49)</f>
        <v>2.2400000000000002</v>
      </c>
      <c r="CK44" s="148">
        <f>SUM(CL44,CN44)</f>
        <v>0.70699999999999996</v>
      </c>
      <c r="CL44" s="149">
        <f>SUM(CL46:CL48)</f>
        <v>0.70699999999999996</v>
      </c>
      <c r="CM44" s="150">
        <f>SUM(CM46:CM48)</f>
        <v>0</v>
      </c>
      <c r="CN44" s="151">
        <f>SUM(CN46:CN48)</f>
        <v>0</v>
      </c>
      <c r="CO44" s="175">
        <f>SUM(CP44,CR44)</f>
        <v>0</v>
      </c>
      <c r="CP44" s="176">
        <f>SUM(CP46:CP49)</f>
        <v>0</v>
      </c>
      <c r="CQ44" s="177">
        <f>SUM(CQ46:CQ49)</f>
        <v>0</v>
      </c>
      <c r="CR44" s="178">
        <f>SUM(CR46:CR49)</f>
        <v>0</v>
      </c>
      <c r="CS44" s="175">
        <f>SUM(CT44,CV44)</f>
        <v>0</v>
      </c>
      <c r="CT44" s="176">
        <f>SUM(CT46:CT48)</f>
        <v>0</v>
      </c>
      <c r="CU44" s="177">
        <f>SUM(CU46:CU48)</f>
        <v>0</v>
      </c>
      <c r="CV44" s="178">
        <f>SUM(CV46:CV48)</f>
        <v>0</v>
      </c>
      <c r="CW44" s="148">
        <f>SUM(CX44,CZ44)</f>
        <v>318.34100000000007</v>
      </c>
      <c r="CX44" s="149">
        <f>SUM(CX46:CX49)</f>
        <v>316.10100000000006</v>
      </c>
      <c r="CY44" s="150">
        <f>SUM(CY46:CY49)</f>
        <v>191.47399999999999</v>
      </c>
      <c r="CZ44" s="151">
        <f>SUM(CZ46:CZ49)</f>
        <v>2.2400000000000002</v>
      </c>
      <c r="DA44" s="148">
        <f>SUM(DB44,DD44)</f>
        <v>0.70699999999999996</v>
      </c>
      <c r="DB44" s="149">
        <f>SUM(DB46:DB48)</f>
        <v>0.70699999999999996</v>
      </c>
      <c r="DC44" s="150">
        <f>SUM(DC46:DC48)</f>
        <v>0</v>
      </c>
      <c r="DD44" s="151">
        <f>SUM(DD46:DD48)</f>
        <v>0</v>
      </c>
      <c r="DE44" s="175">
        <f>SUM(DF44,DH44)</f>
        <v>0</v>
      </c>
      <c r="DF44" s="176">
        <f>SUM(DF46:DF49)</f>
        <v>0</v>
      </c>
      <c r="DG44" s="177">
        <f>SUM(DG46:DG49)</f>
        <v>0</v>
      </c>
      <c r="DH44" s="178">
        <f>SUM(DH46:DH49)</f>
        <v>0</v>
      </c>
      <c r="DI44" s="175">
        <f>SUM(DJ44,DL44)</f>
        <v>0</v>
      </c>
      <c r="DJ44" s="176">
        <f>SUM(DJ46:DJ48)</f>
        <v>0</v>
      </c>
      <c r="DK44" s="177">
        <f>SUM(DK46:DK48)</f>
        <v>0</v>
      </c>
      <c r="DL44" s="178">
        <f>SUM(DL46:DL48)</f>
        <v>0</v>
      </c>
      <c r="DM44" s="148">
        <f>SUM(DN44,DP44)</f>
        <v>318.34100000000007</v>
      </c>
      <c r="DN44" s="149">
        <f>SUM(DN46:DN49)</f>
        <v>316.10100000000006</v>
      </c>
      <c r="DO44" s="150">
        <f>SUM(DO46:DO49)</f>
        <v>191.47399999999999</v>
      </c>
      <c r="DP44" s="151">
        <f>SUM(DP46:DP49)</f>
        <v>2.2400000000000002</v>
      </c>
      <c r="DQ44" s="148">
        <f>SUM(DR44,DT44)</f>
        <v>0.70699999999999996</v>
      </c>
      <c r="DR44" s="149">
        <f>SUM(DR46:DR48)</f>
        <v>0.70699999999999996</v>
      </c>
      <c r="DS44" s="150">
        <f>SUM(DS46:DS48)</f>
        <v>0</v>
      </c>
      <c r="DT44" s="151">
        <f>SUM(DT46:DT48)</f>
        <v>0</v>
      </c>
      <c r="DU44" s="175">
        <f>SUM(DV44,DX44)</f>
        <v>3.351</v>
      </c>
      <c r="DV44" s="176">
        <f>SUM(DV46:DV49)</f>
        <v>0.435</v>
      </c>
      <c r="DW44" s="177">
        <f>SUM(DW46:DW49)</f>
        <v>0.42899999999999999</v>
      </c>
      <c r="DX44" s="178">
        <f>SUM(DX46:DX49)</f>
        <v>2.9159999999999999</v>
      </c>
      <c r="DY44" s="175">
        <f>SUM(DZ44,EB44)</f>
        <v>0</v>
      </c>
      <c r="DZ44" s="176">
        <f>SUM(DZ46:DZ48)</f>
        <v>0</v>
      </c>
      <c r="EA44" s="177">
        <f>SUM(EA46:EA48)</f>
        <v>0</v>
      </c>
      <c r="EB44" s="178">
        <f>SUM(EB46:EB48)</f>
        <v>0</v>
      </c>
      <c r="EC44" s="148">
        <f>SUM(ED44,EF44)</f>
        <v>321.69200000000006</v>
      </c>
      <c r="ED44" s="149">
        <f>SUM(ED46:ED49)</f>
        <v>316.53600000000006</v>
      </c>
      <c r="EE44" s="150">
        <f>SUM(EE46:EE49)</f>
        <v>191.90299999999999</v>
      </c>
      <c r="EF44" s="151">
        <f>SUM(EF46:EF49)</f>
        <v>5.1560000000000006</v>
      </c>
      <c r="EG44" s="148">
        <f>SUM(EH44,EJ44)</f>
        <v>0.70699999999999996</v>
      </c>
      <c r="EH44" s="149">
        <f>SUM(EH46:EH48)</f>
        <v>0.70699999999999996</v>
      </c>
      <c r="EI44" s="150">
        <f>SUM(EI46:EI48)</f>
        <v>0</v>
      </c>
      <c r="EJ44" s="151">
        <f>SUM(EJ46:EJ48)</f>
        <v>0</v>
      </c>
      <c r="EK44" s="155">
        <f t="shared" si="0"/>
        <v>37.112999999999943</v>
      </c>
      <c r="EL44" s="155">
        <f t="shared" si="1"/>
        <v>11.257999999999925</v>
      </c>
      <c r="EM44" s="148">
        <f>SUM(EN44,EP44)</f>
        <v>332.95</v>
      </c>
      <c r="EN44" s="149">
        <f>SUM(EN46:EN50)</f>
        <v>330.71</v>
      </c>
      <c r="EO44" s="150">
        <f>SUM(EO46:EO49)</f>
        <v>216.89499999999998</v>
      </c>
      <c r="EP44" s="151">
        <f>SUM(EP46:EP49)</f>
        <v>2.2400000000000002</v>
      </c>
      <c r="EQ44" s="148">
        <f>SUM(ER44,ET44)</f>
        <v>17.61</v>
      </c>
      <c r="ER44" s="149">
        <f>SUM(ER46:ER48)</f>
        <v>17.61</v>
      </c>
      <c r="ES44" s="150">
        <f>SUM(ES46:ES48)</f>
        <v>13.154999999999999</v>
      </c>
      <c r="ET44" s="151">
        <f>SUM(ET46:ET48)</f>
        <v>0</v>
      </c>
    </row>
    <row r="45" spans="1:150" s="4" customFormat="1" ht="14.25" customHeight="1" x14ac:dyDescent="0.3">
      <c r="A45" s="40"/>
      <c r="B45" s="6" t="s">
        <v>2</v>
      </c>
      <c r="C45" s="49"/>
      <c r="D45" s="93"/>
      <c r="E45" s="105"/>
      <c r="F45" s="106"/>
      <c r="G45" s="107"/>
      <c r="H45" s="108"/>
      <c r="I45" s="105"/>
      <c r="J45" s="106"/>
      <c r="K45" s="107"/>
      <c r="L45" s="108"/>
      <c r="M45" s="105"/>
      <c r="N45" s="106"/>
      <c r="O45" s="107"/>
      <c r="P45" s="108"/>
      <c r="Q45" s="105"/>
      <c r="R45" s="106"/>
      <c r="S45" s="107"/>
      <c r="T45" s="108"/>
      <c r="U45" s="105"/>
      <c r="V45" s="106"/>
      <c r="W45" s="107"/>
      <c r="X45" s="108"/>
      <c r="Y45" s="105"/>
      <c r="Z45" s="106"/>
      <c r="AA45" s="107"/>
      <c r="AB45" s="108"/>
      <c r="AC45" s="105"/>
      <c r="AD45" s="106"/>
      <c r="AE45" s="107"/>
      <c r="AF45" s="108"/>
      <c r="AG45" s="105"/>
      <c r="AH45" s="106"/>
      <c r="AI45" s="107"/>
      <c r="AJ45" s="108"/>
      <c r="AK45" s="105"/>
      <c r="AL45" s="106"/>
      <c r="AM45" s="107"/>
      <c r="AN45" s="108"/>
      <c r="AO45" s="105"/>
      <c r="AP45" s="106"/>
      <c r="AQ45" s="107"/>
      <c r="AR45" s="108"/>
      <c r="AS45" s="105"/>
      <c r="AT45" s="106"/>
      <c r="AU45" s="107"/>
      <c r="AV45" s="108"/>
      <c r="AW45" s="105"/>
      <c r="AX45" s="106"/>
      <c r="AY45" s="107"/>
      <c r="AZ45" s="108"/>
      <c r="BA45" s="105"/>
      <c r="BB45" s="106"/>
      <c r="BC45" s="107"/>
      <c r="BD45" s="108"/>
      <c r="BE45" s="105"/>
      <c r="BF45" s="106"/>
      <c r="BG45" s="107"/>
      <c r="BH45" s="108"/>
      <c r="BI45" s="105"/>
      <c r="BJ45" s="106"/>
      <c r="BK45" s="107"/>
      <c r="BL45" s="108"/>
      <c r="BM45" s="105"/>
      <c r="BN45" s="106"/>
      <c r="BO45" s="107"/>
      <c r="BP45" s="108"/>
      <c r="BQ45" s="105"/>
      <c r="BR45" s="106"/>
      <c r="BS45" s="107"/>
      <c r="BT45" s="108"/>
      <c r="BU45" s="105"/>
      <c r="BV45" s="106"/>
      <c r="BW45" s="107"/>
      <c r="BX45" s="108"/>
      <c r="BY45" s="164"/>
      <c r="BZ45" s="147"/>
      <c r="CA45" s="161"/>
      <c r="CB45" s="162"/>
      <c r="CC45" s="164"/>
      <c r="CD45" s="147"/>
      <c r="CE45" s="161"/>
      <c r="CF45" s="162"/>
      <c r="CG45" s="105"/>
      <c r="CH45" s="106"/>
      <c r="CI45" s="107"/>
      <c r="CJ45" s="108"/>
      <c r="CK45" s="105"/>
      <c r="CL45" s="106"/>
      <c r="CM45" s="107"/>
      <c r="CN45" s="108"/>
      <c r="CO45" s="164"/>
      <c r="CP45" s="147"/>
      <c r="CQ45" s="161"/>
      <c r="CR45" s="162"/>
      <c r="CS45" s="164"/>
      <c r="CT45" s="147"/>
      <c r="CU45" s="161"/>
      <c r="CV45" s="162"/>
      <c r="CW45" s="105"/>
      <c r="CX45" s="106"/>
      <c r="CY45" s="107"/>
      <c r="CZ45" s="108"/>
      <c r="DA45" s="105"/>
      <c r="DB45" s="106"/>
      <c r="DC45" s="107"/>
      <c r="DD45" s="108"/>
      <c r="DE45" s="164"/>
      <c r="DF45" s="147"/>
      <c r="DG45" s="161"/>
      <c r="DH45" s="162"/>
      <c r="DI45" s="164"/>
      <c r="DJ45" s="147"/>
      <c r="DK45" s="161"/>
      <c r="DL45" s="162"/>
      <c r="DM45" s="105"/>
      <c r="DN45" s="106"/>
      <c r="DO45" s="107"/>
      <c r="DP45" s="108"/>
      <c r="DQ45" s="105"/>
      <c r="DR45" s="106"/>
      <c r="DS45" s="107"/>
      <c r="DT45" s="108"/>
      <c r="DU45" s="164"/>
      <c r="DV45" s="147"/>
      <c r="DW45" s="161"/>
      <c r="DX45" s="162"/>
      <c r="DY45" s="164"/>
      <c r="DZ45" s="147"/>
      <c r="EA45" s="161"/>
      <c r="EB45" s="162"/>
      <c r="EC45" s="105"/>
      <c r="ED45" s="106"/>
      <c r="EE45" s="107"/>
      <c r="EF45" s="108"/>
      <c r="EG45" s="105"/>
      <c r="EH45" s="106"/>
      <c r="EI45" s="107"/>
      <c r="EJ45" s="108"/>
      <c r="EK45" s="153">
        <f t="shared" si="0"/>
        <v>0</v>
      </c>
      <c r="EL45" s="153">
        <f t="shared" si="1"/>
        <v>0</v>
      </c>
      <c r="EM45" s="105"/>
      <c r="EN45" s="106"/>
      <c r="EO45" s="107"/>
      <c r="EP45" s="108"/>
      <c r="EQ45" s="105"/>
      <c r="ER45" s="106"/>
      <c r="ES45" s="107"/>
      <c r="ET45" s="108"/>
    </row>
    <row r="46" spans="1:150" s="4" customFormat="1" ht="18" customHeight="1" x14ac:dyDescent="0.25">
      <c r="A46" s="704" t="s">
        <v>26</v>
      </c>
      <c r="B46" s="702" t="s">
        <v>42</v>
      </c>
      <c r="C46" s="48" t="s">
        <v>28</v>
      </c>
      <c r="D46" s="93" t="s">
        <v>37</v>
      </c>
      <c r="E46" s="105">
        <f>SUM(F46,H46)</f>
        <v>255.4</v>
      </c>
      <c r="F46" s="106">
        <f>241.01+12.15</f>
        <v>253.16</v>
      </c>
      <c r="G46" s="107">
        <f>177.07+11.98-0.75</f>
        <v>188.29999999999998</v>
      </c>
      <c r="H46" s="108">
        <v>2.2400000000000002</v>
      </c>
      <c r="I46" s="105">
        <f>SUM(J46,L46)</f>
        <v>0</v>
      </c>
      <c r="J46" s="106"/>
      <c r="K46" s="107"/>
      <c r="L46" s="108"/>
      <c r="M46" s="105">
        <f>SUM(N46,P46)</f>
        <v>0</v>
      </c>
      <c r="N46" s="106"/>
      <c r="O46" s="107"/>
      <c r="P46" s="108"/>
      <c r="Q46" s="105">
        <f>SUM(R46,T46)</f>
        <v>0</v>
      </c>
      <c r="R46" s="106"/>
      <c r="S46" s="107"/>
      <c r="T46" s="108"/>
      <c r="U46" s="105">
        <f t="shared" ref="U46" si="225">SUM(V46,X46)</f>
        <v>255.4</v>
      </c>
      <c r="V46" s="106">
        <f t="shared" ref="V46" si="226">F46+N46</f>
        <v>253.16</v>
      </c>
      <c r="W46" s="107">
        <f t="shared" ref="W46" si="227">G46+O46</f>
        <v>188.29999999999998</v>
      </c>
      <c r="X46" s="108">
        <f t="shared" ref="X46" si="228">H46+P46</f>
        <v>2.2400000000000002</v>
      </c>
      <c r="Y46" s="105">
        <f t="shared" ref="Y46" si="229">SUM(Z46,AB46)</f>
        <v>0</v>
      </c>
      <c r="Z46" s="106">
        <f t="shared" ref="Z46" si="230">J46+R46</f>
        <v>0</v>
      </c>
      <c r="AA46" s="107">
        <f t="shared" ref="AA46" si="231">K46+S46</f>
        <v>0</v>
      </c>
      <c r="AB46" s="108">
        <f t="shared" ref="AB46" si="232">L46+T46</f>
        <v>0</v>
      </c>
      <c r="AC46" s="105">
        <f>SUM(AD46,AF46)</f>
        <v>1.46</v>
      </c>
      <c r="AD46" s="106">
        <v>1.46</v>
      </c>
      <c r="AE46" s="107"/>
      <c r="AF46" s="108"/>
      <c r="AG46" s="105">
        <f>SUM(AH46,AJ46)</f>
        <v>0</v>
      </c>
      <c r="AH46" s="106"/>
      <c r="AI46" s="107"/>
      <c r="AJ46" s="108"/>
      <c r="AK46" s="105">
        <f t="shared" ref="AK46:AK48" si="233">SUM(AL46,AN46)</f>
        <v>256.86</v>
      </c>
      <c r="AL46" s="106">
        <f t="shared" ref="AL46:AL48" si="234">V46+AD46</f>
        <v>254.62</v>
      </c>
      <c r="AM46" s="107">
        <f t="shared" ref="AM46:AM48" si="235">W46+AE46</f>
        <v>188.29999999999998</v>
      </c>
      <c r="AN46" s="108">
        <f t="shared" ref="AN46:AN48" si="236">X46+AF46</f>
        <v>2.2400000000000002</v>
      </c>
      <c r="AO46" s="105">
        <f t="shared" ref="AO46:AO48" si="237">SUM(AP46,AR46)</f>
        <v>0</v>
      </c>
      <c r="AP46" s="106">
        <f t="shared" ref="AP46:AP48" si="238">Z46+AH46</f>
        <v>0</v>
      </c>
      <c r="AQ46" s="107">
        <f t="shared" ref="AQ46:AQ48" si="239">AA46+AI46</f>
        <v>0</v>
      </c>
      <c r="AR46" s="108">
        <f t="shared" ref="AR46:AR48" si="240">AB46+AJ46</f>
        <v>0</v>
      </c>
      <c r="AS46" s="105">
        <f>SUM(AT46,AV46)</f>
        <v>3.22</v>
      </c>
      <c r="AT46" s="106">
        <v>3.22</v>
      </c>
      <c r="AU46" s="107">
        <v>3.1739999999999999</v>
      </c>
      <c r="AV46" s="108"/>
      <c r="AW46" s="105">
        <f>SUM(AX46,AZ46)</f>
        <v>0</v>
      </c>
      <c r="AX46" s="106"/>
      <c r="AY46" s="107"/>
      <c r="AZ46" s="108"/>
      <c r="BA46" s="105">
        <f t="shared" ref="BA46:BA48" si="241">SUM(BB46,BD46)</f>
        <v>260.08000000000004</v>
      </c>
      <c r="BB46" s="106">
        <f t="shared" ref="BB46:BB48" si="242">AL46+AT46</f>
        <v>257.84000000000003</v>
      </c>
      <c r="BC46" s="107">
        <f t="shared" ref="BC46:BC48" si="243">AM46+AU46</f>
        <v>191.47399999999999</v>
      </c>
      <c r="BD46" s="108">
        <f t="shared" ref="BD46:BD49" si="244">AN46+AV46</f>
        <v>2.2400000000000002</v>
      </c>
      <c r="BE46" s="105">
        <f t="shared" ref="BE46:BE48" si="245">SUM(BF46,BH46)</f>
        <v>0</v>
      </c>
      <c r="BF46" s="106">
        <f t="shared" ref="BF46:BF48" si="246">AP46+AX46</f>
        <v>0</v>
      </c>
      <c r="BG46" s="107">
        <f t="shared" ref="BG46:BG48" si="247">AQ46+AY46</f>
        <v>0</v>
      </c>
      <c r="BH46" s="108">
        <f t="shared" ref="BH46:BH48" si="248">AR46+AZ46</f>
        <v>0</v>
      </c>
      <c r="BI46" s="105">
        <f>SUM(BJ46,BL46)</f>
        <v>0</v>
      </c>
      <c r="BJ46" s="106"/>
      <c r="BK46" s="107"/>
      <c r="BL46" s="108"/>
      <c r="BM46" s="105">
        <f>SUM(BN46,BP46)</f>
        <v>0</v>
      </c>
      <c r="BN46" s="106"/>
      <c r="BO46" s="107"/>
      <c r="BP46" s="108"/>
      <c r="BQ46" s="105">
        <f t="shared" ref="BQ46:BQ49" si="249">SUM(BR46,BT46)</f>
        <v>260.08000000000004</v>
      </c>
      <c r="BR46" s="106">
        <f t="shared" ref="BR46:BR49" si="250">BB46+BJ46</f>
        <v>257.84000000000003</v>
      </c>
      <c r="BS46" s="107">
        <f t="shared" ref="BS46:BS48" si="251">BC46+BK46</f>
        <v>191.47399999999999</v>
      </c>
      <c r="BT46" s="108">
        <f t="shared" ref="BT46:BT49" si="252">BD46+BL46</f>
        <v>2.2400000000000002</v>
      </c>
      <c r="BU46" s="105">
        <f t="shared" ref="BU46:BU48" si="253">SUM(BV46,BX46)</f>
        <v>0</v>
      </c>
      <c r="BV46" s="106">
        <f t="shared" ref="BV46:BV48" si="254">BF46+BN46</f>
        <v>0</v>
      </c>
      <c r="BW46" s="107">
        <f t="shared" ref="BW46:BW48" si="255">BG46+BO46</f>
        <v>0</v>
      </c>
      <c r="BX46" s="108">
        <f t="shared" ref="BX46:BX48" si="256">BH46+BP46</f>
        <v>0</v>
      </c>
      <c r="BY46" s="164">
        <f>SUM(BZ46,CB46)</f>
        <v>0</v>
      </c>
      <c r="BZ46" s="147"/>
      <c r="CA46" s="161"/>
      <c r="CB46" s="162"/>
      <c r="CC46" s="164">
        <f>SUM(CD46,CF46)</f>
        <v>0</v>
      </c>
      <c r="CD46" s="147"/>
      <c r="CE46" s="161"/>
      <c r="CF46" s="162"/>
      <c r="CG46" s="105">
        <f t="shared" ref="CG46:CG49" si="257">SUM(CH46,CJ46)</f>
        <v>260.08000000000004</v>
      </c>
      <c r="CH46" s="106">
        <f t="shared" ref="CH46:CH49" si="258">BR46+BZ46</f>
        <v>257.84000000000003</v>
      </c>
      <c r="CI46" s="107">
        <f t="shared" ref="CI46:CI48" si="259">BS46+CA46</f>
        <v>191.47399999999999</v>
      </c>
      <c r="CJ46" s="108">
        <f t="shared" ref="CJ46:CJ49" si="260">BT46+CB46</f>
        <v>2.2400000000000002</v>
      </c>
      <c r="CK46" s="105">
        <f t="shared" ref="CK46:CK48" si="261">SUM(CL46,CN46)</f>
        <v>0</v>
      </c>
      <c r="CL46" s="106">
        <f t="shared" ref="CL46:CL48" si="262">BV46+CD46</f>
        <v>0</v>
      </c>
      <c r="CM46" s="107">
        <f t="shared" ref="CM46:CM48" si="263">BW46+CE46</f>
        <v>0</v>
      </c>
      <c r="CN46" s="108">
        <f t="shared" ref="CN46:CN48" si="264">BX46+CF46</f>
        <v>0</v>
      </c>
      <c r="CO46" s="164">
        <f>SUM(CP46,CR46)</f>
        <v>0</v>
      </c>
      <c r="CP46" s="147"/>
      <c r="CQ46" s="161"/>
      <c r="CR46" s="162"/>
      <c r="CS46" s="164">
        <f>SUM(CT46,CV46)</f>
        <v>0</v>
      </c>
      <c r="CT46" s="147"/>
      <c r="CU46" s="161"/>
      <c r="CV46" s="162"/>
      <c r="CW46" s="105">
        <f t="shared" ref="CW46:CW49" si="265">SUM(CX46,CZ46)</f>
        <v>260.08000000000004</v>
      </c>
      <c r="CX46" s="106">
        <f t="shared" ref="CX46:CX49" si="266">CH46+CP46</f>
        <v>257.84000000000003</v>
      </c>
      <c r="CY46" s="107">
        <f t="shared" ref="CY46:CY48" si="267">CI46+CQ46</f>
        <v>191.47399999999999</v>
      </c>
      <c r="CZ46" s="108">
        <f t="shared" ref="CZ46:CZ49" si="268">CJ46+CR46</f>
        <v>2.2400000000000002</v>
      </c>
      <c r="DA46" s="105">
        <f t="shared" ref="DA46:DA48" si="269">SUM(DB46,DD46)</f>
        <v>0</v>
      </c>
      <c r="DB46" s="106">
        <f t="shared" ref="DB46:DB48" si="270">CL46+CT46</f>
        <v>0</v>
      </c>
      <c r="DC46" s="107">
        <f t="shared" ref="DC46:DC48" si="271">CM46+CU46</f>
        <v>0</v>
      </c>
      <c r="DD46" s="108">
        <f t="shared" ref="DD46:DD48" si="272">CN46+CV46</f>
        <v>0</v>
      </c>
      <c r="DE46" s="164">
        <f>SUM(DF46,DH46)</f>
        <v>0</v>
      </c>
      <c r="DF46" s="147"/>
      <c r="DG46" s="161"/>
      <c r="DH46" s="162"/>
      <c r="DI46" s="164">
        <f>SUM(DJ46,DL46)</f>
        <v>0</v>
      </c>
      <c r="DJ46" s="147"/>
      <c r="DK46" s="161"/>
      <c r="DL46" s="162"/>
      <c r="DM46" s="105">
        <f t="shared" ref="DM46:DM49" si="273">SUM(DN46,DP46)</f>
        <v>260.08000000000004</v>
      </c>
      <c r="DN46" s="106">
        <f t="shared" ref="DN46:DN49" si="274">CX46+DF46</f>
        <v>257.84000000000003</v>
      </c>
      <c r="DO46" s="107">
        <f t="shared" ref="DO46:DO48" si="275">CY46+DG46</f>
        <v>191.47399999999999</v>
      </c>
      <c r="DP46" s="108">
        <f t="shared" ref="DP46:DP49" si="276">CZ46+DH46</f>
        <v>2.2400000000000002</v>
      </c>
      <c r="DQ46" s="105">
        <f t="shared" ref="DQ46:DQ48" si="277">SUM(DR46,DT46)</f>
        <v>0</v>
      </c>
      <c r="DR46" s="106">
        <f t="shared" ref="DR46:DR48" si="278">DB46+DJ46</f>
        <v>0</v>
      </c>
      <c r="DS46" s="107">
        <f t="shared" ref="DS46:DS48" si="279">DC46+DK46</f>
        <v>0</v>
      </c>
      <c r="DT46" s="108">
        <f t="shared" ref="DT46:DT48" si="280">DD46+DL46</f>
        <v>0</v>
      </c>
      <c r="DU46" s="164">
        <f>SUM(DV46,DX46)</f>
        <v>3.351</v>
      </c>
      <c r="DV46" s="147">
        <v>0.435</v>
      </c>
      <c r="DW46" s="161">
        <v>0.42899999999999999</v>
      </c>
      <c r="DX46" s="162">
        <v>2.9159999999999999</v>
      </c>
      <c r="DY46" s="164">
        <f>SUM(DZ46,EB46)</f>
        <v>0</v>
      </c>
      <c r="DZ46" s="147"/>
      <c r="EA46" s="161"/>
      <c r="EB46" s="162"/>
      <c r="EC46" s="105">
        <f t="shared" ref="EC46:EC49" si="281">SUM(ED46,EF46)</f>
        <v>263.43100000000004</v>
      </c>
      <c r="ED46" s="106">
        <f t="shared" ref="ED46:ED49" si="282">DN46+DV46</f>
        <v>258.27500000000003</v>
      </c>
      <c r="EE46" s="107">
        <f t="shared" ref="EE46:EE48" si="283">DO46+DW46</f>
        <v>191.90299999999999</v>
      </c>
      <c r="EF46" s="108">
        <f t="shared" ref="EF46:EF49" si="284">DP46+DX46</f>
        <v>5.1560000000000006</v>
      </c>
      <c r="EG46" s="105">
        <f t="shared" ref="EG46:EG48" si="285">SUM(EH46,EJ46)</f>
        <v>0</v>
      </c>
      <c r="EH46" s="106">
        <f t="shared" ref="EH46:EH48" si="286">DR46+DZ46</f>
        <v>0</v>
      </c>
      <c r="EI46" s="107">
        <f t="shared" ref="EI46:EI48" si="287">DS46+EA46</f>
        <v>0</v>
      </c>
      <c r="EJ46" s="108">
        <f t="shared" ref="EJ46:EJ48" si="288">DT46+EB46</f>
        <v>0</v>
      </c>
      <c r="EK46" s="163">
        <f t="shared" si="0"/>
        <v>40.524999999999949</v>
      </c>
      <c r="EL46" s="163">
        <f t="shared" si="1"/>
        <v>32.493999999999915</v>
      </c>
      <c r="EM46" s="105">
        <f>SUM(EN46,EP46)</f>
        <v>295.92499999999995</v>
      </c>
      <c r="EN46" s="106">
        <f>ER46+275.09+1.09</f>
        <v>293.68499999999995</v>
      </c>
      <c r="EO46" s="107">
        <f>ES46+204.54-0.8</f>
        <v>216.89499999999998</v>
      </c>
      <c r="EP46" s="108">
        <f>0.5+1.74</f>
        <v>2.2400000000000002</v>
      </c>
      <c r="EQ46" s="105">
        <f>SUM(ER46,ET46)</f>
        <v>17.504999999999999</v>
      </c>
      <c r="ER46" s="106">
        <f>2.865+11.1+3.54</f>
        <v>17.504999999999999</v>
      </c>
      <c r="ES46" s="107">
        <f>2.215+10.94</f>
        <v>13.154999999999999</v>
      </c>
      <c r="ET46" s="108"/>
    </row>
    <row r="47" spans="1:150" s="4" customFormat="1" ht="21.65" customHeight="1" x14ac:dyDescent="0.25">
      <c r="A47" s="705"/>
      <c r="B47" s="703"/>
      <c r="C47" s="48" t="s">
        <v>29</v>
      </c>
      <c r="D47" s="139" t="s">
        <v>52</v>
      </c>
      <c r="E47" s="105">
        <f>SUM(F47,H47)</f>
        <v>38.207000000000001</v>
      </c>
      <c r="F47" s="106">
        <f>37.5+J47</f>
        <v>38.207000000000001</v>
      </c>
      <c r="G47" s="107"/>
      <c r="H47" s="108"/>
      <c r="I47" s="105">
        <f>SUM(J47,L47)</f>
        <v>0.70699999999999996</v>
      </c>
      <c r="J47" s="106">
        <v>0.70699999999999996</v>
      </c>
      <c r="K47" s="107"/>
      <c r="L47" s="108"/>
      <c r="M47" s="105">
        <f>SUM(N47,P47)</f>
        <v>0</v>
      </c>
      <c r="N47" s="106"/>
      <c r="O47" s="107"/>
      <c r="P47" s="108"/>
      <c r="Q47" s="105">
        <f>SUM(R47,T47)</f>
        <v>0</v>
      </c>
      <c r="R47" s="106"/>
      <c r="S47" s="107"/>
      <c r="T47" s="108"/>
      <c r="U47" s="105">
        <f t="shared" ref="U47:U48" si="289">SUM(V47,X47)</f>
        <v>38.207000000000001</v>
      </c>
      <c r="V47" s="106">
        <f t="shared" ref="V47:V48" si="290">F47+N47</f>
        <v>38.207000000000001</v>
      </c>
      <c r="W47" s="107">
        <f t="shared" ref="W47:W48" si="291">G47+O47</f>
        <v>0</v>
      </c>
      <c r="X47" s="108">
        <f t="shared" ref="X47:X48" si="292">H47+P47</f>
        <v>0</v>
      </c>
      <c r="Y47" s="105">
        <f t="shared" ref="Y47:Y48" si="293">SUM(Z47,AB47)</f>
        <v>0.70699999999999996</v>
      </c>
      <c r="Z47" s="106">
        <f t="shared" ref="Z47:Z48" si="294">J47+R47</f>
        <v>0.70699999999999996</v>
      </c>
      <c r="AA47" s="107">
        <f t="shared" ref="AA47:AA48" si="295">K47+S47</f>
        <v>0</v>
      </c>
      <c r="AB47" s="108">
        <f t="shared" ref="AB47:AB48" si="296">L47+T47</f>
        <v>0</v>
      </c>
      <c r="AC47" s="105">
        <f>SUM(AD47,AF47)</f>
        <v>0</v>
      </c>
      <c r="AD47" s="106"/>
      <c r="AE47" s="107"/>
      <c r="AF47" s="108"/>
      <c r="AG47" s="105">
        <f>SUM(AH47,AJ47)</f>
        <v>0</v>
      </c>
      <c r="AH47" s="106"/>
      <c r="AI47" s="107"/>
      <c r="AJ47" s="108"/>
      <c r="AK47" s="105">
        <f t="shared" si="233"/>
        <v>38.207000000000001</v>
      </c>
      <c r="AL47" s="106">
        <f t="shared" si="234"/>
        <v>38.207000000000001</v>
      </c>
      <c r="AM47" s="107">
        <f t="shared" si="235"/>
        <v>0</v>
      </c>
      <c r="AN47" s="108">
        <f t="shared" si="236"/>
        <v>0</v>
      </c>
      <c r="AO47" s="105">
        <f t="shared" si="237"/>
        <v>0.70699999999999996</v>
      </c>
      <c r="AP47" s="106">
        <f t="shared" si="238"/>
        <v>0.70699999999999996</v>
      </c>
      <c r="AQ47" s="107">
        <f t="shared" si="239"/>
        <v>0</v>
      </c>
      <c r="AR47" s="108">
        <f t="shared" si="240"/>
        <v>0</v>
      </c>
      <c r="AS47" s="105">
        <f>SUM(AT47,AV47)</f>
        <v>0</v>
      </c>
      <c r="AT47" s="106"/>
      <c r="AU47" s="107"/>
      <c r="AV47" s="108"/>
      <c r="AW47" s="105">
        <f>SUM(AX47,AZ47)</f>
        <v>0</v>
      </c>
      <c r="AX47" s="106"/>
      <c r="AY47" s="107"/>
      <c r="AZ47" s="108"/>
      <c r="BA47" s="105">
        <f t="shared" si="241"/>
        <v>38.207000000000001</v>
      </c>
      <c r="BB47" s="106">
        <f t="shared" si="242"/>
        <v>38.207000000000001</v>
      </c>
      <c r="BC47" s="107">
        <f t="shared" si="243"/>
        <v>0</v>
      </c>
      <c r="BD47" s="108">
        <f t="shared" si="244"/>
        <v>0</v>
      </c>
      <c r="BE47" s="105">
        <f t="shared" si="245"/>
        <v>0.70699999999999996</v>
      </c>
      <c r="BF47" s="106">
        <f t="shared" si="246"/>
        <v>0.70699999999999996</v>
      </c>
      <c r="BG47" s="107">
        <f t="shared" si="247"/>
        <v>0</v>
      </c>
      <c r="BH47" s="108">
        <f t="shared" si="248"/>
        <v>0</v>
      </c>
      <c r="BI47" s="105">
        <f>SUM(BJ47,BL47)</f>
        <v>0</v>
      </c>
      <c r="BJ47" s="106"/>
      <c r="BK47" s="107"/>
      <c r="BL47" s="108"/>
      <c r="BM47" s="105">
        <f>SUM(BN47,BP47)</f>
        <v>0</v>
      </c>
      <c r="BN47" s="106"/>
      <c r="BO47" s="107"/>
      <c r="BP47" s="108"/>
      <c r="BQ47" s="105">
        <f t="shared" si="249"/>
        <v>38.207000000000001</v>
      </c>
      <c r="BR47" s="106">
        <f t="shared" si="250"/>
        <v>38.207000000000001</v>
      </c>
      <c r="BS47" s="107">
        <f t="shared" si="251"/>
        <v>0</v>
      </c>
      <c r="BT47" s="108">
        <f t="shared" si="252"/>
        <v>0</v>
      </c>
      <c r="BU47" s="105">
        <f t="shared" si="253"/>
        <v>0.70699999999999996</v>
      </c>
      <c r="BV47" s="106">
        <f t="shared" si="254"/>
        <v>0.70699999999999996</v>
      </c>
      <c r="BW47" s="107">
        <f t="shared" si="255"/>
        <v>0</v>
      </c>
      <c r="BX47" s="108">
        <f t="shared" si="256"/>
        <v>0</v>
      </c>
      <c r="BY47" s="164">
        <f>SUM(BZ47,CB47)</f>
        <v>0</v>
      </c>
      <c r="BZ47" s="147"/>
      <c r="CA47" s="161"/>
      <c r="CB47" s="162"/>
      <c r="CC47" s="164">
        <f>SUM(CD47,CF47)</f>
        <v>0</v>
      </c>
      <c r="CD47" s="147"/>
      <c r="CE47" s="161"/>
      <c r="CF47" s="162"/>
      <c r="CG47" s="105">
        <f t="shared" si="257"/>
        <v>38.207000000000001</v>
      </c>
      <c r="CH47" s="106">
        <f t="shared" si="258"/>
        <v>38.207000000000001</v>
      </c>
      <c r="CI47" s="107">
        <f t="shared" si="259"/>
        <v>0</v>
      </c>
      <c r="CJ47" s="108">
        <f t="shared" si="260"/>
        <v>0</v>
      </c>
      <c r="CK47" s="105">
        <f t="shared" si="261"/>
        <v>0.70699999999999996</v>
      </c>
      <c r="CL47" s="106">
        <f t="shared" si="262"/>
        <v>0.70699999999999996</v>
      </c>
      <c r="CM47" s="107">
        <f t="shared" si="263"/>
        <v>0</v>
      </c>
      <c r="CN47" s="108">
        <f t="shared" si="264"/>
        <v>0</v>
      </c>
      <c r="CO47" s="164">
        <f>SUM(CP47,CR47)</f>
        <v>0</v>
      </c>
      <c r="CP47" s="147"/>
      <c r="CQ47" s="161"/>
      <c r="CR47" s="162"/>
      <c r="CS47" s="164">
        <f>SUM(CT47,CV47)</f>
        <v>0</v>
      </c>
      <c r="CT47" s="147"/>
      <c r="CU47" s="161"/>
      <c r="CV47" s="162"/>
      <c r="CW47" s="105">
        <f t="shared" si="265"/>
        <v>38.207000000000001</v>
      </c>
      <c r="CX47" s="106">
        <f t="shared" si="266"/>
        <v>38.207000000000001</v>
      </c>
      <c r="CY47" s="107">
        <f t="shared" si="267"/>
        <v>0</v>
      </c>
      <c r="CZ47" s="108">
        <f t="shared" si="268"/>
        <v>0</v>
      </c>
      <c r="DA47" s="105">
        <f t="shared" si="269"/>
        <v>0.70699999999999996</v>
      </c>
      <c r="DB47" s="106">
        <f t="shared" si="270"/>
        <v>0.70699999999999996</v>
      </c>
      <c r="DC47" s="107">
        <f t="shared" si="271"/>
        <v>0</v>
      </c>
      <c r="DD47" s="108">
        <f t="shared" si="272"/>
        <v>0</v>
      </c>
      <c r="DE47" s="164">
        <f>SUM(DF47,DH47)</f>
        <v>0</v>
      </c>
      <c r="DF47" s="147"/>
      <c r="DG47" s="161"/>
      <c r="DH47" s="162"/>
      <c r="DI47" s="164">
        <f>SUM(DJ47,DL47)</f>
        <v>0</v>
      </c>
      <c r="DJ47" s="147"/>
      <c r="DK47" s="161"/>
      <c r="DL47" s="162"/>
      <c r="DM47" s="105">
        <f t="shared" si="273"/>
        <v>38.207000000000001</v>
      </c>
      <c r="DN47" s="106">
        <f t="shared" si="274"/>
        <v>38.207000000000001</v>
      </c>
      <c r="DO47" s="107">
        <f t="shared" si="275"/>
        <v>0</v>
      </c>
      <c r="DP47" s="108">
        <f t="shared" si="276"/>
        <v>0</v>
      </c>
      <c r="DQ47" s="105">
        <f t="shared" si="277"/>
        <v>0.70699999999999996</v>
      </c>
      <c r="DR47" s="106">
        <f t="shared" si="278"/>
        <v>0.70699999999999996</v>
      </c>
      <c r="DS47" s="107">
        <f t="shared" si="279"/>
        <v>0</v>
      </c>
      <c r="DT47" s="108">
        <f t="shared" si="280"/>
        <v>0</v>
      </c>
      <c r="DU47" s="164">
        <f>SUM(DV47,DX47)</f>
        <v>0</v>
      </c>
      <c r="DV47" s="147"/>
      <c r="DW47" s="161"/>
      <c r="DX47" s="162"/>
      <c r="DY47" s="164">
        <f>SUM(DZ47,EB47)</f>
        <v>0</v>
      </c>
      <c r="DZ47" s="147"/>
      <c r="EA47" s="161"/>
      <c r="EB47" s="162"/>
      <c r="EC47" s="105">
        <f t="shared" si="281"/>
        <v>38.207000000000001</v>
      </c>
      <c r="ED47" s="106">
        <f t="shared" si="282"/>
        <v>38.207000000000001</v>
      </c>
      <c r="EE47" s="107">
        <f t="shared" si="283"/>
        <v>0</v>
      </c>
      <c r="EF47" s="108">
        <f t="shared" si="284"/>
        <v>0</v>
      </c>
      <c r="EG47" s="105">
        <f t="shared" si="285"/>
        <v>0.70699999999999996</v>
      </c>
      <c r="EH47" s="106">
        <f t="shared" si="286"/>
        <v>0.70699999999999996</v>
      </c>
      <c r="EI47" s="107">
        <f t="shared" si="287"/>
        <v>0</v>
      </c>
      <c r="EJ47" s="108">
        <f t="shared" si="288"/>
        <v>0</v>
      </c>
      <c r="EK47" s="154">
        <f t="shared" si="0"/>
        <v>-5.6020000000000039</v>
      </c>
      <c r="EL47" s="154">
        <f t="shared" si="1"/>
        <v>-5.6020000000000039</v>
      </c>
      <c r="EM47" s="105">
        <f>SUM(EN47,EP47)</f>
        <v>32.604999999999997</v>
      </c>
      <c r="EN47" s="106">
        <f>ER47+32.5</f>
        <v>32.604999999999997</v>
      </c>
      <c r="EO47" s="107"/>
      <c r="EP47" s="108"/>
      <c r="EQ47" s="105">
        <f>SUM(ER47,ET47)</f>
        <v>0.105</v>
      </c>
      <c r="ER47" s="106">
        <v>0.105</v>
      </c>
      <c r="ES47" s="107"/>
      <c r="ET47" s="108"/>
    </row>
    <row r="48" spans="1:150" s="4" customFormat="1" ht="21.65" customHeight="1" x14ac:dyDescent="0.25">
      <c r="A48" s="139" t="s">
        <v>33</v>
      </c>
      <c r="B48" s="25" t="s">
        <v>47</v>
      </c>
      <c r="C48" s="48" t="s">
        <v>53</v>
      </c>
      <c r="D48" s="139" t="s">
        <v>37</v>
      </c>
      <c r="E48" s="105">
        <f>SUM(F48,H48)</f>
        <v>2.23</v>
      </c>
      <c r="F48" s="106">
        <v>2.23</v>
      </c>
      <c r="G48" s="107"/>
      <c r="H48" s="108"/>
      <c r="I48" s="105">
        <f>SUM(J48,L48)</f>
        <v>0</v>
      </c>
      <c r="J48" s="106"/>
      <c r="K48" s="107"/>
      <c r="L48" s="108"/>
      <c r="M48" s="105">
        <f>SUM(N48,P48)</f>
        <v>0</v>
      </c>
      <c r="N48" s="106"/>
      <c r="O48" s="107"/>
      <c r="P48" s="108"/>
      <c r="Q48" s="105">
        <f>SUM(R48,T48)</f>
        <v>0</v>
      </c>
      <c r="R48" s="106"/>
      <c r="S48" s="107"/>
      <c r="T48" s="108"/>
      <c r="U48" s="105">
        <f t="shared" si="289"/>
        <v>2.23</v>
      </c>
      <c r="V48" s="106">
        <f t="shared" si="290"/>
        <v>2.23</v>
      </c>
      <c r="W48" s="107">
        <f t="shared" si="291"/>
        <v>0</v>
      </c>
      <c r="X48" s="108">
        <f t="shared" si="292"/>
        <v>0</v>
      </c>
      <c r="Y48" s="105">
        <f t="shared" si="293"/>
        <v>0</v>
      </c>
      <c r="Z48" s="106">
        <f t="shared" si="294"/>
        <v>0</v>
      </c>
      <c r="AA48" s="107">
        <f t="shared" si="295"/>
        <v>0</v>
      </c>
      <c r="AB48" s="108">
        <f t="shared" si="296"/>
        <v>0</v>
      </c>
      <c r="AC48" s="105">
        <f>SUM(AD48,AF48)</f>
        <v>0</v>
      </c>
      <c r="AD48" s="106"/>
      <c r="AE48" s="107"/>
      <c r="AF48" s="108"/>
      <c r="AG48" s="105">
        <f>SUM(AH48,AJ48)</f>
        <v>0</v>
      </c>
      <c r="AH48" s="106"/>
      <c r="AI48" s="107"/>
      <c r="AJ48" s="108"/>
      <c r="AK48" s="105">
        <f t="shared" si="233"/>
        <v>2.23</v>
      </c>
      <c r="AL48" s="106">
        <f t="shared" si="234"/>
        <v>2.23</v>
      </c>
      <c r="AM48" s="107">
        <f t="shared" si="235"/>
        <v>0</v>
      </c>
      <c r="AN48" s="108">
        <f t="shared" si="236"/>
        <v>0</v>
      </c>
      <c r="AO48" s="105">
        <f t="shared" si="237"/>
        <v>0</v>
      </c>
      <c r="AP48" s="106">
        <f t="shared" si="238"/>
        <v>0</v>
      </c>
      <c r="AQ48" s="107">
        <f t="shared" si="239"/>
        <v>0</v>
      </c>
      <c r="AR48" s="108">
        <f t="shared" si="240"/>
        <v>0</v>
      </c>
      <c r="AS48" s="105">
        <f>SUM(AT48,AV48)</f>
        <v>0</v>
      </c>
      <c r="AT48" s="106"/>
      <c r="AU48" s="107"/>
      <c r="AV48" s="108"/>
      <c r="AW48" s="105">
        <f>SUM(AX48,AZ48)</f>
        <v>0</v>
      </c>
      <c r="AX48" s="106"/>
      <c r="AY48" s="107"/>
      <c r="AZ48" s="108"/>
      <c r="BA48" s="105">
        <f t="shared" si="241"/>
        <v>2.23</v>
      </c>
      <c r="BB48" s="106">
        <f t="shared" si="242"/>
        <v>2.23</v>
      </c>
      <c r="BC48" s="107">
        <f t="shared" si="243"/>
        <v>0</v>
      </c>
      <c r="BD48" s="108">
        <f t="shared" si="244"/>
        <v>0</v>
      </c>
      <c r="BE48" s="105">
        <f t="shared" si="245"/>
        <v>0</v>
      </c>
      <c r="BF48" s="106">
        <f t="shared" si="246"/>
        <v>0</v>
      </c>
      <c r="BG48" s="107">
        <f t="shared" si="247"/>
        <v>0</v>
      </c>
      <c r="BH48" s="108">
        <f t="shared" si="248"/>
        <v>0</v>
      </c>
      <c r="BI48" s="105">
        <f>SUM(BJ48,BL48)</f>
        <v>0</v>
      </c>
      <c r="BJ48" s="106"/>
      <c r="BK48" s="107"/>
      <c r="BL48" s="108"/>
      <c r="BM48" s="105">
        <f>SUM(BN48,BP48)</f>
        <v>0</v>
      </c>
      <c r="BN48" s="106"/>
      <c r="BO48" s="107"/>
      <c r="BP48" s="108"/>
      <c r="BQ48" s="105">
        <f t="shared" si="249"/>
        <v>2.23</v>
      </c>
      <c r="BR48" s="106">
        <f t="shared" si="250"/>
        <v>2.23</v>
      </c>
      <c r="BS48" s="107">
        <f t="shared" si="251"/>
        <v>0</v>
      </c>
      <c r="BT48" s="108">
        <f t="shared" si="252"/>
        <v>0</v>
      </c>
      <c r="BU48" s="105">
        <f t="shared" si="253"/>
        <v>0</v>
      </c>
      <c r="BV48" s="106">
        <f t="shared" si="254"/>
        <v>0</v>
      </c>
      <c r="BW48" s="107">
        <f t="shared" si="255"/>
        <v>0</v>
      </c>
      <c r="BX48" s="108">
        <f t="shared" si="256"/>
        <v>0</v>
      </c>
      <c r="BY48" s="164">
        <f>SUM(BZ48,CB48)</f>
        <v>0</v>
      </c>
      <c r="BZ48" s="147"/>
      <c r="CA48" s="161"/>
      <c r="CB48" s="162"/>
      <c r="CC48" s="164">
        <f>SUM(CD48,CF48)</f>
        <v>0</v>
      </c>
      <c r="CD48" s="147"/>
      <c r="CE48" s="161"/>
      <c r="CF48" s="162"/>
      <c r="CG48" s="105">
        <f t="shared" si="257"/>
        <v>2.23</v>
      </c>
      <c r="CH48" s="106">
        <f t="shared" si="258"/>
        <v>2.23</v>
      </c>
      <c r="CI48" s="107">
        <f t="shared" si="259"/>
        <v>0</v>
      </c>
      <c r="CJ48" s="108">
        <f t="shared" si="260"/>
        <v>0</v>
      </c>
      <c r="CK48" s="105">
        <f t="shared" si="261"/>
        <v>0</v>
      </c>
      <c r="CL48" s="106">
        <f t="shared" si="262"/>
        <v>0</v>
      </c>
      <c r="CM48" s="107">
        <f t="shared" si="263"/>
        <v>0</v>
      </c>
      <c r="CN48" s="108">
        <f t="shared" si="264"/>
        <v>0</v>
      </c>
      <c r="CO48" s="164">
        <f>SUM(CP48,CR48)</f>
        <v>0</v>
      </c>
      <c r="CP48" s="147"/>
      <c r="CQ48" s="161"/>
      <c r="CR48" s="162"/>
      <c r="CS48" s="164">
        <f>SUM(CT48,CV48)</f>
        <v>0</v>
      </c>
      <c r="CT48" s="147"/>
      <c r="CU48" s="161"/>
      <c r="CV48" s="162"/>
      <c r="CW48" s="105">
        <f t="shared" si="265"/>
        <v>2.23</v>
      </c>
      <c r="CX48" s="106">
        <f t="shared" si="266"/>
        <v>2.23</v>
      </c>
      <c r="CY48" s="107">
        <f t="shared" si="267"/>
        <v>0</v>
      </c>
      <c r="CZ48" s="108">
        <f t="shared" si="268"/>
        <v>0</v>
      </c>
      <c r="DA48" s="105">
        <f t="shared" si="269"/>
        <v>0</v>
      </c>
      <c r="DB48" s="106">
        <f t="shared" si="270"/>
        <v>0</v>
      </c>
      <c r="DC48" s="107">
        <f t="shared" si="271"/>
        <v>0</v>
      </c>
      <c r="DD48" s="108">
        <f t="shared" si="272"/>
        <v>0</v>
      </c>
      <c r="DE48" s="164">
        <f>SUM(DF48,DH48)</f>
        <v>0</v>
      </c>
      <c r="DF48" s="147"/>
      <c r="DG48" s="161"/>
      <c r="DH48" s="162"/>
      <c r="DI48" s="164">
        <f>SUM(DJ48,DL48)</f>
        <v>0</v>
      </c>
      <c r="DJ48" s="147"/>
      <c r="DK48" s="161"/>
      <c r="DL48" s="162"/>
      <c r="DM48" s="105">
        <f t="shared" si="273"/>
        <v>2.23</v>
      </c>
      <c r="DN48" s="106">
        <f t="shared" si="274"/>
        <v>2.23</v>
      </c>
      <c r="DO48" s="107">
        <f t="shared" si="275"/>
        <v>0</v>
      </c>
      <c r="DP48" s="108">
        <f t="shared" si="276"/>
        <v>0</v>
      </c>
      <c r="DQ48" s="105">
        <f t="shared" si="277"/>
        <v>0</v>
      </c>
      <c r="DR48" s="106">
        <f t="shared" si="278"/>
        <v>0</v>
      </c>
      <c r="DS48" s="107">
        <f t="shared" si="279"/>
        <v>0</v>
      </c>
      <c r="DT48" s="108">
        <f t="shared" si="280"/>
        <v>0</v>
      </c>
      <c r="DU48" s="164">
        <f>SUM(DV48,DX48)</f>
        <v>0</v>
      </c>
      <c r="DV48" s="147"/>
      <c r="DW48" s="161"/>
      <c r="DX48" s="162"/>
      <c r="DY48" s="164">
        <f>SUM(DZ48,EB48)</f>
        <v>0</v>
      </c>
      <c r="DZ48" s="147"/>
      <c r="EA48" s="161"/>
      <c r="EB48" s="162"/>
      <c r="EC48" s="105">
        <f t="shared" si="281"/>
        <v>2.23</v>
      </c>
      <c r="ED48" s="106">
        <f t="shared" si="282"/>
        <v>2.23</v>
      </c>
      <c r="EE48" s="107">
        <f t="shared" si="283"/>
        <v>0</v>
      </c>
      <c r="EF48" s="108">
        <f t="shared" si="284"/>
        <v>0</v>
      </c>
      <c r="EG48" s="105">
        <f t="shared" si="285"/>
        <v>0</v>
      </c>
      <c r="EH48" s="106">
        <f t="shared" si="286"/>
        <v>0</v>
      </c>
      <c r="EI48" s="107">
        <f t="shared" si="287"/>
        <v>0</v>
      </c>
      <c r="EJ48" s="108">
        <f t="shared" si="288"/>
        <v>0</v>
      </c>
      <c r="EK48" s="154">
        <f t="shared" si="0"/>
        <v>-0.81</v>
      </c>
      <c r="EL48" s="154">
        <f t="shared" si="1"/>
        <v>-0.81</v>
      </c>
      <c r="EM48" s="105">
        <f>SUM(EN48,EP48)</f>
        <v>1.42</v>
      </c>
      <c r="EN48" s="106">
        <v>1.42</v>
      </c>
      <c r="EO48" s="107"/>
      <c r="EP48" s="108"/>
      <c r="EQ48" s="105">
        <f>SUM(ER48,ET48)</f>
        <v>0</v>
      </c>
      <c r="ER48" s="106"/>
      <c r="ES48" s="107"/>
      <c r="ET48" s="108"/>
    </row>
    <row r="49" spans="1:150" s="4" customFormat="1" ht="21.65" customHeight="1" x14ac:dyDescent="0.25">
      <c r="A49" s="704" t="s">
        <v>7</v>
      </c>
      <c r="B49" s="702" t="s">
        <v>49</v>
      </c>
      <c r="C49" s="48" t="s">
        <v>181</v>
      </c>
      <c r="D49" s="139" t="s">
        <v>37</v>
      </c>
      <c r="E49" s="105"/>
      <c r="F49" s="106"/>
      <c r="G49" s="107"/>
      <c r="H49" s="108"/>
      <c r="I49" s="105"/>
      <c r="J49" s="106"/>
      <c r="K49" s="107"/>
      <c r="L49" s="108"/>
      <c r="M49" s="105"/>
      <c r="N49" s="106"/>
      <c r="O49" s="107"/>
      <c r="P49" s="108"/>
      <c r="Q49" s="105"/>
      <c r="R49" s="106"/>
      <c r="S49" s="107"/>
      <c r="T49" s="108"/>
      <c r="U49" s="105"/>
      <c r="V49" s="106"/>
      <c r="W49" s="107"/>
      <c r="X49" s="108"/>
      <c r="Y49" s="105"/>
      <c r="Z49" s="106"/>
      <c r="AA49" s="107"/>
      <c r="AB49" s="108"/>
      <c r="AC49" s="105"/>
      <c r="AD49" s="106"/>
      <c r="AE49" s="107"/>
      <c r="AF49" s="108"/>
      <c r="AG49" s="105"/>
      <c r="AH49" s="106"/>
      <c r="AI49" s="107"/>
      <c r="AJ49" s="108"/>
      <c r="AK49" s="105"/>
      <c r="AL49" s="106"/>
      <c r="AM49" s="107"/>
      <c r="AN49" s="108"/>
      <c r="AO49" s="105"/>
      <c r="AP49" s="106"/>
      <c r="AQ49" s="107"/>
      <c r="AR49" s="108"/>
      <c r="AS49" s="105">
        <f>SUM(AT49,AV49)</f>
        <v>17.823999999999998</v>
      </c>
      <c r="AT49" s="106">
        <v>5.7839999999999998</v>
      </c>
      <c r="AU49" s="107"/>
      <c r="AV49" s="108">
        <v>12.04</v>
      </c>
      <c r="AW49" s="105"/>
      <c r="AX49" s="106"/>
      <c r="AY49" s="107"/>
      <c r="AZ49" s="108"/>
      <c r="BA49" s="105">
        <f t="shared" ref="BA49" si="297">SUM(BB49,BD49)</f>
        <v>17.823999999999998</v>
      </c>
      <c r="BB49" s="106">
        <f t="shared" ref="BB49" si="298">AL49+AT49</f>
        <v>5.7839999999999998</v>
      </c>
      <c r="BC49" s="107"/>
      <c r="BD49" s="108">
        <f t="shared" si="244"/>
        <v>12.04</v>
      </c>
      <c r="BE49" s="105"/>
      <c r="BF49" s="106"/>
      <c r="BG49" s="107"/>
      <c r="BH49" s="108"/>
      <c r="BI49" s="105">
        <f>SUM(BJ49,BL49)</f>
        <v>0</v>
      </c>
      <c r="BJ49" s="106"/>
      <c r="BK49" s="107"/>
      <c r="BL49" s="108"/>
      <c r="BM49" s="105"/>
      <c r="BN49" s="106"/>
      <c r="BO49" s="107"/>
      <c r="BP49" s="108"/>
      <c r="BQ49" s="105">
        <f t="shared" si="249"/>
        <v>17.823999999999998</v>
      </c>
      <c r="BR49" s="106">
        <f t="shared" si="250"/>
        <v>5.7839999999999998</v>
      </c>
      <c r="BS49" s="107"/>
      <c r="BT49" s="108">
        <f t="shared" si="252"/>
        <v>12.04</v>
      </c>
      <c r="BU49" s="105"/>
      <c r="BV49" s="106"/>
      <c r="BW49" s="107"/>
      <c r="BX49" s="108"/>
      <c r="BY49" s="164">
        <f>SUM(BZ49,CB49)</f>
        <v>0</v>
      </c>
      <c r="BZ49" s="147">
        <v>12.04</v>
      </c>
      <c r="CA49" s="161"/>
      <c r="CB49" s="162">
        <v>-12.04</v>
      </c>
      <c r="CC49" s="164"/>
      <c r="CD49" s="147"/>
      <c r="CE49" s="161"/>
      <c r="CF49" s="162"/>
      <c r="CG49" s="105">
        <f t="shared" si="257"/>
        <v>17.823999999999998</v>
      </c>
      <c r="CH49" s="106">
        <f t="shared" si="258"/>
        <v>17.823999999999998</v>
      </c>
      <c r="CI49" s="107"/>
      <c r="CJ49" s="108">
        <f t="shared" si="260"/>
        <v>0</v>
      </c>
      <c r="CK49" s="105"/>
      <c r="CL49" s="106"/>
      <c r="CM49" s="107"/>
      <c r="CN49" s="108"/>
      <c r="CO49" s="164">
        <f>SUM(CP49,CR49)</f>
        <v>0</v>
      </c>
      <c r="CP49" s="147"/>
      <c r="CQ49" s="161"/>
      <c r="CR49" s="162"/>
      <c r="CS49" s="164"/>
      <c r="CT49" s="147"/>
      <c r="CU49" s="161"/>
      <c r="CV49" s="162"/>
      <c r="CW49" s="105">
        <f t="shared" si="265"/>
        <v>17.823999999999998</v>
      </c>
      <c r="CX49" s="106">
        <f t="shared" si="266"/>
        <v>17.823999999999998</v>
      </c>
      <c r="CY49" s="107"/>
      <c r="CZ49" s="108">
        <f t="shared" si="268"/>
        <v>0</v>
      </c>
      <c r="DA49" s="105"/>
      <c r="DB49" s="106"/>
      <c r="DC49" s="107"/>
      <c r="DD49" s="108"/>
      <c r="DE49" s="164">
        <f>SUM(DF49,DH49)</f>
        <v>0</v>
      </c>
      <c r="DF49" s="147"/>
      <c r="DG49" s="161"/>
      <c r="DH49" s="162"/>
      <c r="DI49" s="164"/>
      <c r="DJ49" s="147"/>
      <c r="DK49" s="161"/>
      <c r="DL49" s="162"/>
      <c r="DM49" s="105">
        <f t="shared" si="273"/>
        <v>17.823999999999998</v>
      </c>
      <c r="DN49" s="106">
        <f t="shared" si="274"/>
        <v>17.823999999999998</v>
      </c>
      <c r="DO49" s="107"/>
      <c r="DP49" s="108">
        <f t="shared" si="276"/>
        <v>0</v>
      </c>
      <c r="DQ49" s="105"/>
      <c r="DR49" s="106"/>
      <c r="DS49" s="107"/>
      <c r="DT49" s="108"/>
      <c r="DU49" s="164">
        <f>SUM(DV49,DX49)</f>
        <v>0</v>
      </c>
      <c r="DV49" s="147"/>
      <c r="DW49" s="161"/>
      <c r="DX49" s="162"/>
      <c r="DY49" s="164"/>
      <c r="DZ49" s="147"/>
      <c r="EA49" s="161"/>
      <c r="EB49" s="162"/>
      <c r="EC49" s="105">
        <f t="shared" si="281"/>
        <v>17.823999999999998</v>
      </c>
      <c r="ED49" s="106">
        <f t="shared" si="282"/>
        <v>17.823999999999998</v>
      </c>
      <c r="EE49" s="107"/>
      <c r="EF49" s="108">
        <f t="shared" si="284"/>
        <v>0</v>
      </c>
      <c r="EG49" s="105"/>
      <c r="EH49" s="106"/>
      <c r="EI49" s="107"/>
      <c r="EJ49" s="108"/>
      <c r="EK49" s="153">
        <f t="shared" si="0"/>
        <v>0</v>
      </c>
      <c r="EL49" s="154">
        <f t="shared" si="1"/>
        <v>-17.823999999999998</v>
      </c>
      <c r="EM49" s="105">
        <f t="shared" ref="EM49:EM50" si="299">SUM(EN49,EP49)</f>
        <v>0</v>
      </c>
      <c r="EN49" s="106"/>
      <c r="EO49" s="107"/>
      <c r="EP49" s="108"/>
      <c r="EQ49" s="105"/>
      <c r="ER49" s="106"/>
      <c r="ES49" s="107"/>
      <c r="ET49" s="108"/>
    </row>
    <row r="50" spans="1:150" s="4" customFormat="1" ht="21.65" customHeight="1" x14ac:dyDescent="0.25">
      <c r="A50" s="705"/>
      <c r="B50" s="703"/>
      <c r="C50" s="48" t="s">
        <v>222</v>
      </c>
      <c r="D50" s="139" t="s">
        <v>52</v>
      </c>
      <c r="E50" s="105"/>
      <c r="F50" s="106"/>
      <c r="G50" s="107"/>
      <c r="H50" s="108"/>
      <c r="I50" s="105"/>
      <c r="J50" s="106"/>
      <c r="K50" s="107"/>
      <c r="L50" s="108"/>
      <c r="M50" s="105"/>
      <c r="N50" s="106"/>
      <c r="O50" s="107"/>
      <c r="P50" s="108"/>
      <c r="Q50" s="105"/>
      <c r="R50" s="106"/>
      <c r="S50" s="107"/>
      <c r="T50" s="108"/>
      <c r="U50" s="105"/>
      <c r="V50" s="106"/>
      <c r="W50" s="107"/>
      <c r="X50" s="108"/>
      <c r="Y50" s="105"/>
      <c r="Z50" s="106"/>
      <c r="AA50" s="107"/>
      <c r="AB50" s="108"/>
      <c r="AC50" s="105"/>
      <c r="AD50" s="106"/>
      <c r="AE50" s="107"/>
      <c r="AF50" s="108"/>
      <c r="AG50" s="105"/>
      <c r="AH50" s="106"/>
      <c r="AI50" s="107"/>
      <c r="AJ50" s="108"/>
      <c r="AK50" s="105"/>
      <c r="AL50" s="106"/>
      <c r="AM50" s="107"/>
      <c r="AN50" s="108"/>
      <c r="AO50" s="105"/>
      <c r="AP50" s="106"/>
      <c r="AQ50" s="107"/>
      <c r="AR50" s="108"/>
      <c r="AS50" s="105"/>
      <c r="AT50" s="106"/>
      <c r="AU50" s="107"/>
      <c r="AV50" s="108"/>
      <c r="AW50" s="105"/>
      <c r="AX50" s="106"/>
      <c r="AY50" s="107"/>
      <c r="AZ50" s="108"/>
      <c r="BA50" s="105"/>
      <c r="BB50" s="106"/>
      <c r="BC50" s="107"/>
      <c r="BD50" s="108"/>
      <c r="BE50" s="105"/>
      <c r="BF50" s="106"/>
      <c r="BG50" s="107"/>
      <c r="BH50" s="108"/>
      <c r="BI50" s="105"/>
      <c r="BJ50" s="106"/>
      <c r="BK50" s="107"/>
      <c r="BL50" s="108"/>
      <c r="BM50" s="105"/>
      <c r="BN50" s="106"/>
      <c r="BO50" s="107"/>
      <c r="BP50" s="108"/>
      <c r="BQ50" s="105"/>
      <c r="BR50" s="106"/>
      <c r="BS50" s="107"/>
      <c r="BT50" s="108"/>
      <c r="BU50" s="105"/>
      <c r="BV50" s="106"/>
      <c r="BW50" s="107"/>
      <c r="BX50" s="108"/>
      <c r="BY50" s="164"/>
      <c r="BZ50" s="147"/>
      <c r="CA50" s="161"/>
      <c r="CB50" s="162"/>
      <c r="CC50" s="164"/>
      <c r="CD50" s="147"/>
      <c r="CE50" s="161"/>
      <c r="CF50" s="162"/>
      <c r="CG50" s="105"/>
      <c r="CH50" s="106"/>
      <c r="CI50" s="107"/>
      <c r="CJ50" s="108"/>
      <c r="CK50" s="105"/>
      <c r="CL50" s="106"/>
      <c r="CM50" s="107"/>
      <c r="CN50" s="108"/>
      <c r="CO50" s="164"/>
      <c r="CP50" s="147"/>
      <c r="CQ50" s="161"/>
      <c r="CR50" s="162"/>
      <c r="CS50" s="164"/>
      <c r="CT50" s="147"/>
      <c r="CU50" s="161"/>
      <c r="CV50" s="162"/>
      <c r="CW50" s="105"/>
      <c r="CX50" s="106"/>
      <c r="CY50" s="107"/>
      <c r="CZ50" s="108"/>
      <c r="DA50" s="105"/>
      <c r="DB50" s="106"/>
      <c r="DC50" s="107"/>
      <c r="DD50" s="108"/>
      <c r="DE50" s="164"/>
      <c r="DF50" s="147"/>
      <c r="DG50" s="161"/>
      <c r="DH50" s="162"/>
      <c r="DI50" s="164"/>
      <c r="DJ50" s="147"/>
      <c r="DK50" s="161"/>
      <c r="DL50" s="162"/>
      <c r="DM50" s="105"/>
      <c r="DN50" s="106"/>
      <c r="DO50" s="107"/>
      <c r="DP50" s="108"/>
      <c r="DQ50" s="105"/>
      <c r="DR50" s="106"/>
      <c r="DS50" s="107"/>
      <c r="DT50" s="108"/>
      <c r="DU50" s="164"/>
      <c r="DV50" s="147"/>
      <c r="DW50" s="161"/>
      <c r="DX50" s="162"/>
      <c r="DY50" s="164"/>
      <c r="DZ50" s="147"/>
      <c r="EA50" s="161"/>
      <c r="EB50" s="162"/>
      <c r="EC50" s="105"/>
      <c r="ED50" s="106"/>
      <c r="EE50" s="107"/>
      <c r="EF50" s="108"/>
      <c r="EG50" s="105"/>
      <c r="EH50" s="106"/>
      <c r="EI50" s="107"/>
      <c r="EJ50" s="108"/>
      <c r="EK50" s="163">
        <f t="shared" si="0"/>
        <v>3</v>
      </c>
      <c r="EL50" s="163">
        <f t="shared" si="1"/>
        <v>3</v>
      </c>
      <c r="EM50" s="105">
        <f t="shared" si="299"/>
        <v>3</v>
      </c>
      <c r="EN50" s="106">
        <v>3</v>
      </c>
      <c r="EO50" s="107"/>
      <c r="EP50" s="108"/>
      <c r="EQ50" s="105"/>
      <c r="ER50" s="106"/>
      <c r="ES50" s="107"/>
      <c r="ET50" s="108"/>
    </row>
    <row r="51" spans="1:150" ht="18" customHeight="1" x14ac:dyDescent="0.3">
      <c r="A51" s="46"/>
      <c r="B51" s="33" t="s">
        <v>157</v>
      </c>
      <c r="C51" s="47" t="s">
        <v>141</v>
      </c>
      <c r="D51" s="94"/>
      <c r="E51" s="148">
        <f>SUM(F51,H51)</f>
        <v>394.88500000000005</v>
      </c>
      <c r="F51" s="149">
        <f>SUM(F53:F56)</f>
        <v>392.68500000000006</v>
      </c>
      <c r="G51" s="150">
        <f>SUM(G53:G56)</f>
        <v>240.78</v>
      </c>
      <c r="H51" s="151">
        <f>SUM(H53:H56)</f>
        <v>2.2000000000000002</v>
      </c>
      <c r="I51" s="148">
        <f>SUM(J51,L51)</f>
        <v>1.7050000000000001</v>
      </c>
      <c r="J51" s="149">
        <f>SUM(J53:J55)</f>
        <v>1.7050000000000001</v>
      </c>
      <c r="K51" s="150">
        <f>SUM(K53:K55)</f>
        <v>0</v>
      </c>
      <c r="L51" s="151">
        <f>SUM(L53:L55)</f>
        <v>0</v>
      </c>
      <c r="M51" s="148">
        <f>SUM(N51,P51)</f>
        <v>0</v>
      </c>
      <c r="N51" s="149">
        <f>SUM(N53:N56)</f>
        <v>0</v>
      </c>
      <c r="O51" s="150">
        <f>SUM(O53:O56)</f>
        <v>0</v>
      </c>
      <c r="P51" s="151">
        <f>SUM(P53:P56)</f>
        <v>0</v>
      </c>
      <c r="Q51" s="148">
        <f>SUM(R51,T51)</f>
        <v>0</v>
      </c>
      <c r="R51" s="149">
        <f>SUM(R53:R55)</f>
        <v>0</v>
      </c>
      <c r="S51" s="150">
        <f>SUM(S53:S55)</f>
        <v>0</v>
      </c>
      <c r="T51" s="151">
        <f>SUM(T53:T55)</f>
        <v>0</v>
      </c>
      <c r="U51" s="148">
        <f>SUM(V51,X51)</f>
        <v>394.88500000000005</v>
      </c>
      <c r="V51" s="149">
        <f>SUM(V53:V56)</f>
        <v>392.68500000000006</v>
      </c>
      <c r="W51" s="150">
        <f>SUM(W53:W56)</f>
        <v>240.78</v>
      </c>
      <c r="X51" s="151">
        <f>SUM(X53:X56)</f>
        <v>2.2000000000000002</v>
      </c>
      <c r="Y51" s="148">
        <f>SUM(Z51,AB51)</f>
        <v>1.7050000000000001</v>
      </c>
      <c r="Z51" s="149">
        <f>SUM(Z53:Z55)</f>
        <v>1.7050000000000001</v>
      </c>
      <c r="AA51" s="150">
        <f>SUM(AA53:AA55)</f>
        <v>0</v>
      </c>
      <c r="AB51" s="151">
        <f>SUM(AB53:AB55)</f>
        <v>0</v>
      </c>
      <c r="AC51" s="148">
        <f>SUM(AD51,AF51)</f>
        <v>0</v>
      </c>
      <c r="AD51" s="149">
        <f>SUM(AD53:AD56)</f>
        <v>0</v>
      </c>
      <c r="AE51" s="150">
        <f>SUM(AE53:AE56)</f>
        <v>0</v>
      </c>
      <c r="AF51" s="151">
        <f>SUM(AF53:AF56)</f>
        <v>0</v>
      </c>
      <c r="AG51" s="148">
        <f>SUM(AH51,AJ51)</f>
        <v>0</v>
      </c>
      <c r="AH51" s="149">
        <f>SUM(AH53:AH55)</f>
        <v>0</v>
      </c>
      <c r="AI51" s="150">
        <f>SUM(AI53:AI55)</f>
        <v>0</v>
      </c>
      <c r="AJ51" s="151">
        <f>SUM(AJ53:AJ55)</f>
        <v>0</v>
      </c>
      <c r="AK51" s="148">
        <f>SUM(AL51,AN51)</f>
        <v>394.88500000000005</v>
      </c>
      <c r="AL51" s="149">
        <f>SUM(AL53:AL56)</f>
        <v>392.68500000000006</v>
      </c>
      <c r="AM51" s="150">
        <f>SUM(AM53:AM56)</f>
        <v>240.78</v>
      </c>
      <c r="AN51" s="151">
        <f>SUM(AN53:AN56)</f>
        <v>2.2000000000000002</v>
      </c>
      <c r="AO51" s="148">
        <f>SUM(AP51,AR51)</f>
        <v>1.7050000000000001</v>
      </c>
      <c r="AP51" s="149">
        <f>SUM(AP53:AP55)</f>
        <v>1.7050000000000001</v>
      </c>
      <c r="AQ51" s="150">
        <f>SUM(AQ53:AQ55)</f>
        <v>0</v>
      </c>
      <c r="AR51" s="151">
        <f>SUM(AR53:AR55)</f>
        <v>0</v>
      </c>
      <c r="AS51" s="148">
        <f>SUM(AT51,AV51)</f>
        <v>-1.1020000000000001</v>
      </c>
      <c r="AT51" s="149">
        <f>SUM(AT53:AT56)</f>
        <v>-1.1020000000000001</v>
      </c>
      <c r="AU51" s="150">
        <f>SUM(AU53:AU56)</f>
        <v>-1.0860000000000001</v>
      </c>
      <c r="AV51" s="151">
        <f>SUM(AV53:AV56)</f>
        <v>0</v>
      </c>
      <c r="AW51" s="148">
        <f>SUM(AX51,AZ51)</f>
        <v>0</v>
      </c>
      <c r="AX51" s="149">
        <f>SUM(AX53:AX55)</f>
        <v>0</v>
      </c>
      <c r="AY51" s="150">
        <f>SUM(AY53:AY55)</f>
        <v>0</v>
      </c>
      <c r="AZ51" s="151">
        <f>SUM(AZ53:AZ55)</f>
        <v>0</v>
      </c>
      <c r="BA51" s="148">
        <f>SUM(BB51,BD51)</f>
        <v>393.78300000000007</v>
      </c>
      <c r="BB51" s="149">
        <f>SUM(BB53:BB56)</f>
        <v>391.58300000000008</v>
      </c>
      <c r="BC51" s="150">
        <f>SUM(BC53:BC56)</f>
        <v>239.69399999999999</v>
      </c>
      <c r="BD51" s="151">
        <f>SUM(BD53:BD56)</f>
        <v>2.2000000000000002</v>
      </c>
      <c r="BE51" s="148">
        <f>SUM(BF51,BH51)</f>
        <v>1.7050000000000001</v>
      </c>
      <c r="BF51" s="149">
        <f>SUM(BF53:BF55)</f>
        <v>1.7050000000000001</v>
      </c>
      <c r="BG51" s="150">
        <f>SUM(BG53:BG55)</f>
        <v>0</v>
      </c>
      <c r="BH51" s="151">
        <f>SUM(BH53:BH55)</f>
        <v>0</v>
      </c>
      <c r="BI51" s="148">
        <f>SUM(BJ51,BL51)</f>
        <v>18.734000000000002</v>
      </c>
      <c r="BJ51" s="149">
        <f>SUM(BJ53:BJ56)</f>
        <v>18.734000000000002</v>
      </c>
      <c r="BK51" s="150">
        <f>SUM(BK53:BK56)</f>
        <v>0</v>
      </c>
      <c r="BL51" s="151">
        <f>SUM(BL53:BL56)</f>
        <v>0</v>
      </c>
      <c r="BM51" s="148">
        <f>SUM(BN51,BP51)</f>
        <v>0</v>
      </c>
      <c r="BN51" s="149">
        <f>SUM(BN53:BN55)</f>
        <v>0</v>
      </c>
      <c r="BO51" s="150">
        <f>SUM(BO53:BO55)</f>
        <v>0</v>
      </c>
      <c r="BP51" s="151">
        <f>SUM(BP53:BP55)</f>
        <v>0</v>
      </c>
      <c r="BQ51" s="148">
        <f>SUM(BR51,BT51)</f>
        <v>412.51700000000005</v>
      </c>
      <c r="BR51" s="149">
        <f>SUM(BR53:BR56)</f>
        <v>410.31700000000006</v>
      </c>
      <c r="BS51" s="150">
        <f>SUM(BS53:BS56)</f>
        <v>239.69399999999999</v>
      </c>
      <c r="BT51" s="151">
        <f>SUM(BT53:BT56)</f>
        <v>2.2000000000000002</v>
      </c>
      <c r="BU51" s="148">
        <f>SUM(BV51,BX51)</f>
        <v>1.7050000000000001</v>
      </c>
      <c r="BV51" s="149">
        <f>SUM(BV53:BV55)</f>
        <v>1.7050000000000001</v>
      </c>
      <c r="BW51" s="150">
        <f>SUM(BW53:BW55)</f>
        <v>0</v>
      </c>
      <c r="BX51" s="151">
        <f>SUM(BX53:BX55)</f>
        <v>0</v>
      </c>
      <c r="BY51" s="175">
        <f>SUM(BZ51,CB51)</f>
        <v>0</v>
      </c>
      <c r="BZ51" s="176">
        <f>SUM(BZ53:BZ56)</f>
        <v>0</v>
      </c>
      <c r="CA51" s="177">
        <f>SUM(CA53:CA56)</f>
        <v>0</v>
      </c>
      <c r="CB51" s="178">
        <f>SUM(CB53:CB56)</f>
        <v>0</v>
      </c>
      <c r="CC51" s="175">
        <f>SUM(CD51,CF51)</f>
        <v>0</v>
      </c>
      <c r="CD51" s="176">
        <f>SUM(CD53:CD55)</f>
        <v>0</v>
      </c>
      <c r="CE51" s="177">
        <f>SUM(CE53:CE55)</f>
        <v>0</v>
      </c>
      <c r="CF51" s="178">
        <f>SUM(CF53:CF55)</f>
        <v>0</v>
      </c>
      <c r="CG51" s="148">
        <f>SUM(CH51,CJ51)</f>
        <v>412.51700000000005</v>
      </c>
      <c r="CH51" s="149">
        <f>SUM(CH53:CH56)</f>
        <v>410.31700000000006</v>
      </c>
      <c r="CI51" s="150">
        <f>SUM(CI53:CI56)</f>
        <v>239.69399999999999</v>
      </c>
      <c r="CJ51" s="151">
        <f>SUM(CJ53:CJ56)</f>
        <v>2.2000000000000002</v>
      </c>
      <c r="CK51" s="148">
        <f>SUM(CL51,CN51)</f>
        <v>1.7050000000000001</v>
      </c>
      <c r="CL51" s="149">
        <f>SUM(CL53:CL55)</f>
        <v>1.7050000000000001</v>
      </c>
      <c r="CM51" s="150">
        <f>SUM(CM53:CM55)</f>
        <v>0</v>
      </c>
      <c r="CN51" s="151">
        <f>SUM(CN53:CN55)</f>
        <v>0</v>
      </c>
      <c r="CO51" s="175">
        <f>SUM(CP51,CR51)</f>
        <v>5.4980000000000002</v>
      </c>
      <c r="CP51" s="176">
        <f>SUM(CP53:CP56)</f>
        <v>5.4980000000000002</v>
      </c>
      <c r="CQ51" s="177">
        <f>SUM(CQ53:CQ56)</f>
        <v>0</v>
      </c>
      <c r="CR51" s="178">
        <f>SUM(CR53:CR56)</f>
        <v>0</v>
      </c>
      <c r="CS51" s="175">
        <f>SUM(CT51,CV51)</f>
        <v>0</v>
      </c>
      <c r="CT51" s="176">
        <f>SUM(CT53:CT55)</f>
        <v>0</v>
      </c>
      <c r="CU51" s="177">
        <f>SUM(CU53:CU55)</f>
        <v>0</v>
      </c>
      <c r="CV51" s="178">
        <f>SUM(CV53:CV55)</f>
        <v>0</v>
      </c>
      <c r="CW51" s="148">
        <f>SUM(CX51,CZ51)</f>
        <v>418.0150000000001</v>
      </c>
      <c r="CX51" s="149">
        <f>SUM(CX53:CX56)</f>
        <v>415.81500000000011</v>
      </c>
      <c r="CY51" s="150">
        <f>SUM(CY53:CY56)</f>
        <v>239.69399999999999</v>
      </c>
      <c r="CZ51" s="151">
        <f>SUM(CZ53:CZ56)</f>
        <v>2.2000000000000002</v>
      </c>
      <c r="DA51" s="148">
        <f>SUM(DB51,DD51)</f>
        <v>1.7050000000000001</v>
      </c>
      <c r="DB51" s="149">
        <f>SUM(DB53:DB55)</f>
        <v>1.7050000000000001</v>
      </c>
      <c r="DC51" s="150">
        <f>SUM(DC53:DC55)</f>
        <v>0</v>
      </c>
      <c r="DD51" s="151">
        <f>SUM(DD53:DD55)</f>
        <v>0</v>
      </c>
      <c r="DE51" s="175">
        <f>SUM(DF51,DH51)</f>
        <v>0</v>
      </c>
      <c r="DF51" s="176">
        <f>SUM(DF53:DF56)</f>
        <v>0</v>
      </c>
      <c r="DG51" s="177">
        <f>SUM(DG53:DG56)</f>
        <v>0</v>
      </c>
      <c r="DH51" s="178">
        <f>SUM(DH53:DH56)</f>
        <v>0</v>
      </c>
      <c r="DI51" s="175">
        <f>SUM(DJ51,DL51)</f>
        <v>0</v>
      </c>
      <c r="DJ51" s="176">
        <f>SUM(DJ53:DJ55)</f>
        <v>0</v>
      </c>
      <c r="DK51" s="177">
        <f>SUM(DK53:DK55)</f>
        <v>0</v>
      </c>
      <c r="DL51" s="178">
        <f>SUM(DL53:DL55)</f>
        <v>0</v>
      </c>
      <c r="DM51" s="148">
        <f>SUM(DN51,DP51)</f>
        <v>418.0150000000001</v>
      </c>
      <c r="DN51" s="149">
        <f>SUM(DN53:DN56)</f>
        <v>415.81500000000011</v>
      </c>
      <c r="DO51" s="150">
        <f>SUM(DO53:DO56)</f>
        <v>239.69399999999999</v>
      </c>
      <c r="DP51" s="151">
        <f>SUM(DP53:DP56)</f>
        <v>2.2000000000000002</v>
      </c>
      <c r="DQ51" s="148">
        <f>SUM(DR51,DT51)</f>
        <v>1.7050000000000001</v>
      </c>
      <c r="DR51" s="149">
        <f>SUM(DR53:DR55)</f>
        <v>1.7050000000000001</v>
      </c>
      <c r="DS51" s="150">
        <f>SUM(DS53:DS55)</f>
        <v>0</v>
      </c>
      <c r="DT51" s="151">
        <f>SUM(DT53:DT55)</f>
        <v>0</v>
      </c>
      <c r="DU51" s="175">
        <f>SUM(DV51,DX51)</f>
        <v>-10.1</v>
      </c>
      <c r="DV51" s="176">
        <f>SUM(DV53:DV56)</f>
        <v>-10.1</v>
      </c>
      <c r="DW51" s="177">
        <f>SUM(DW53:DW56)</f>
        <v>0</v>
      </c>
      <c r="DX51" s="178">
        <f>SUM(DX53:DX56)</f>
        <v>0</v>
      </c>
      <c r="DY51" s="175">
        <f>SUM(DZ51,EB51)</f>
        <v>0</v>
      </c>
      <c r="DZ51" s="176">
        <f>SUM(DZ53:DZ55)</f>
        <v>0</v>
      </c>
      <c r="EA51" s="177">
        <f>SUM(EA53:EA55)</f>
        <v>0</v>
      </c>
      <c r="EB51" s="178">
        <f>SUM(EB53:EB55)</f>
        <v>0</v>
      </c>
      <c r="EC51" s="148">
        <f>SUM(ED51,EF51)</f>
        <v>407.91500000000008</v>
      </c>
      <c r="ED51" s="149">
        <f>SUM(ED53:ED56)</f>
        <v>405.71500000000009</v>
      </c>
      <c r="EE51" s="150">
        <f>SUM(EE53:EE56)</f>
        <v>239.69399999999999</v>
      </c>
      <c r="EF51" s="151">
        <f>SUM(EF53:EF56)</f>
        <v>2.2000000000000002</v>
      </c>
      <c r="EG51" s="148">
        <f>SUM(EH51,EJ51)</f>
        <v>1.7050000000000001</v>
      </c>
      <c r="EH51" s="149">
        <f>SUM(EH53:EH55)</f>
        <v>1.7050000000000001</v>
      </c>
      <c r="EI51" s="150">
        <f>SUM(EI53:EI55)</f>
        <v>0</v>
      </c>
      <c r="EJ51" s="151">
        <f>SUM(EJ53:EJ55)</f>
        <v>0</v>
      </c>
      <c r="EK51" s="155">
        <f t="shared" si="0"/>
        <v>13.144999999999925</v>
      </c>
      <c r="EL51" s="155">
        <f t="shared" si="1"/>
        <v>0.11499999999989541</v>
      </c>
      <c r="EM51" s="148">
        <f>SUM(EN51,EP51)</f>
        <v>408.03</v>
      </c>
      <c r="EN51" s="149">
        <f>SUM(EN53:EN56)</f>
        <v>405.13</v>
      </c>
      <c r="EO51" s="150">
        <f>SUM(EO53:EO56)</f>
        <v>261.55</v>
      </c>
      <c r="EP51" s="151">
        <f>SUM(EP53:EP56)</f>
        <v>2.9</v>
      </c>
      <c r="EQ51" s="148">
        <f>SUM(ER51,ET51)</f>
        <v>17.77</v>
      </c>
      <c r="ER51" s="149">
        <f>SUM(ER53:ER55)</f>
        <v>17.77</v>
      </c>
      <c r="ES51" s="150">
        <f>SUM(ES53:ES55)</f>
        <v>15.75</v>
      </c>
      <c r="ET51" s="151">
        <f>SUM(ET53:ET55)</f>
        <v>0</v>
      </c>
    </row>
    <row r="52" spans="1:150" ht="13.5" customHeight="1" x14ac:dyDescent="0.3">
      <c r="A52" s="50"/>
      <c r="B52" s="6" t="s">
        <v>2</v>
      </c>
      <c r="C52" s="51"/>
      <c r="D52" s="94"/>
      <c r="E52" s="105"/>
      <c r="F52" s="106"/>
      <c r="G52" s="107"/>
      <c r="H52" s="108"/>
      <c r="I52" s="105"/>
      <c r="J52" s="106"/>
      <c r="K52" s="107"/>
      <c r="L52" s="108"/>
      <c r="M52" s="105"/>
      <c r="N52" s="106"/>
      <c r="O52" s="107"/>
      <c r="P52" s="108"/>
      <c r="Q52" s="105"/>
      <c r="R52" s="106"/>
      <c r="S52" s="107"/>
      <c r="T52" s="108"/>
      <c r="U52" s="105"/>
      <c r="V52" s="106"/>
      <c r="W52" s="107"/>
      <c r="X52" s="108"/>
      <c r="Y52" s="105"/>
      <c r="Z52" s="106"/>
      <c r="AA52" s="107"/>
      <c r="AB52" s="108"/>
      <c r="AC52" s="105"/>
      <c r="AD52" s="106"/>
      <c r="AE52" s="107"/>
      <c r="AF52" s="108"/>
      <c r="AG52" s="105"/>
      <c r="AH52" s="106"/>
      <c r="AI52" s="107"/>
      <c r="AJ52" s="108"/>
      <c r="AK52" s="105"/>
      <c r="AL52" s="106"/>
      <c r="AM52" s="107"/>
      <c r="AN52" s="108"/>
      <c r="AO52" s="105"/>
      <c r="AP52" s="106"/>
      <c r="AQ52" s="107"/>
      <c r="AR52" s="108"/>
      <c r="AS52" s="105"/>
      <c r="AT52" s="106"/>
      <c r="AU52" s="107"/>
      <c r="AV52" s="108"/>
      <c r="AW52" s="105"/>
      <c r="AX52" s="106"/>
      <c r="AY52" s="107"/>
      <c r="AZ52" s="108"/>
      <c r="BA52" s="105"/>
      <c r="BB52" s="106"/>
      <c r="BC52" s="107"/>
      <c r="BD52" s="108"/>
      <c r="BE52" s="105"/>
      <c r="BF52" s="106"/>
      <c r="BG52" s="107"/>
      <c r="BH52" s="108"/>
      <c r="BI52" s="105"/>
      <c r="BJ52" s="106"/>
      <c r="BK52" s="107"/>
      <c r="BL52" s="108"/>
      <c r="BM52" s="105"/>
      <c r="BN52" s="106"/>
      <c r="BO52" s="107"/>
      <c r="BP52" s="108"/>
      <c r="BQ52" s="105"/>
      <c r="BR52" s="106"/>
      <c r="BS52" s="107"/>
      <c r="BT52" s="108"/>
      <c r="BU52" s="105"/>
      <c r="BV52" s="106"/>
      <c r="BW52" s="107"/>
      <c r="BX52" s="108"/>
      <c r="BY52" s="164"/>
      <c r="BZ52" s="147"/>
      <c r="CA52" s="161"/>
      <c r="CB52" s="162"/>
      <c r="CC52" s="164"/>
      <c r="CD52" s="147"/>
      <c r="CE52" s="161"/>
      <c r="CF52" s="162"/>
      <c r="CG52" s="105"/>
      <c r="CH52" s="106"/>
      <c r="CI52" s="107"/>
      <c r="CJ52" s="108"/>
      <c r="CK52" s="105"/>
      <c r="CL52" s="106"/>
      <c r="CM52" s="107"/>
      <c r="CN52" s="108"/>
      <c r="CO52" s="164"/>
      <c r="CP52" s="147"/>
      <c r="CQ52" s="161"/>
      <c r="CR52" s="162"/>
      <c r="CS52" s="164"/>
      <c r="CT52" s="147"/>
      <c r="CU52" s="161"/>
      <c r="CV52" s="162"/>
      <c r="CW52" s="105"/>
      <c r="CX52" s="106"/>
      <c r="CY52" s="107"/>
      <c r="CZ52" s="108"/>
      <c r="DA52" s="105"/>
      <c r="DB52" s="106"/>
      <c r="DC52" s="107"/>
      <c r="DD52" s="108"/>
      <c r="DE52" s="164"/>
      <c r="DF52" s="147"/>
      <c r="DG52" s="161"/>
      <c r="DH52" s="162"/>
      <c r="DI52" s="164"/>
      <c r="DJ52" s="147"/>
      <c r="DK52" s="161"/>
      <c r="DL52" s="162"/>
      <c r="DM52" s="105"/>
      <c r="DN52" s="106"/>
      <c r="DO52" s="107"/>
      <c r="DP52" s="108"/>
      <c r="DQ52" s="105"/>
      <c r="DR52" s="106"/>
      <c r="DS52" s="107"/>
      <c r="DT52" s="108"/>
      <c r="DU52" s="164"/>
      <c r="DV52" s="147"/>
      <c r="DW52" s="161"/>
      <c r="DX52" s="162"/>
      <c r="DY52" s="164"/>
      <c r="DZ52" s="147"/>
      <c r="EA52" s="161"/>
      <c r="EB52" s="162"/>
      <c r="EC52" s="105"/>
      <c r="ED52" s="106"/>
      <c r="EE52" s="107"/>
      <c r="EF52" s="108"/>
      <c r="EG52" s="105"/>
      <c r="EH52" s="106"/>
      <c r="EI52" s="107"/>
      <c r="EJ52" s="108"/>
      <c r="EK52" s="153">
        <f t="shared" si="0"/>
        <v>0</v>
      </c>
      <c r="EL52" s="153">
        <f t="shared" si="1"/>
        <v>0</v>
      </c>
      <c r="EM52" s="105"/>
      <c r="EN52" s="106"/>
      <c r="EO52" s="107"/>
      <c r="EP52" s="108"/>
      <c r="EQ52" s="105"/>
      <c r="ER52" s="106"/>
      <c r="ES52" s="107"/>
      <c r="ET52" s="108"/>
    </row>
    <row r="53" spans="1:150" s="4" customFormat="1" ht="18.75" customHeight="1" x14ac:dyDescent="0.25">
      <c r="A53" s="704" t="s">
        <v>26</v>
      </c>
      <c r="B53" s="702" t="s">
        <v>42</v>
      </c>
      <c r="C53" s="48" t="s">
        <v>30</v>
      </c>
      <c r="D53" s="93" t="s">
        <v>37</v>
      </c>
      <c r="E53" s="105">
        <f>SUM(F53,H53)</f>
        <v>337.21000000000004</v>
      </c>
      <c r="F53" s="106">
        <f>310.91+24.1</f>
        <v>335.01000000000005</v>
      </c>
      <c r="G53" s="107">
        <f>218.52+23.76-1.5</f>
        <v>240.78</v>
      </c>
      <c r="H53" s="108">
        <v>2.2000000000000002</v>
      </c>
      <c r="I53" s="105">
        <f>SUM(J53,L53)</f>
        <v>0</v>
      </c>
      <c r="J53" s="106"/>
      <c r="K53" s="107"/>
      <c r="L53" s="108"/>
      <c r="M53" s="105">
        <f>SUM(N53,P53)</f>
        <v>0</v>
      </c>
      <c r="N53" s="106"/>
      <c r="O53" s="107"/>
      <c r="P53" s="108"/>
      <c r="Q53" s="105">
        <f>SUM(R53,T53)</f>
        <v>0</v>
      </c>
      <c r="R53" s="106"/>
      <c r="S53" s="107"/>
      <c r="T53" s="108"/>
      <c r="U53" s="105">
        <f t="shared" ref="U53" si="300">SUM(V53,X53)</f>
        <v>337.21000000000004</v>
      </c>
      <c r="V53" s="106">
        <f t="shared" ref="V53" si="301">F53+N53</f>
        <v>335.01000000000005</v>
      </c>
      <c r="W53" s="107">
        <f t="shared" ref="W53" si="302">G53+O53</f>
        <v>240.78</v>
      </c>
      <c r="X53" s="108">
        <f t="shared" ref="X53" si="303">H53+P53</f>
        <v>2.2000000000000002</v>
      </c>
      <c r="Y53" s="105">
        <f t="shared" ref="Y53" si="304">SUM(Z53,AB53)</f>
        <v>0</v>
      </c>
      <c r="Z53" s="106">
        <f t="shared" ref="Z53" si="305">J53+R53</f>
        <v>0</v>
      </c>
      <c r="AA53" s="107">
        <f t="shared" ref="AA53" si="306">K53+S53</f>
        <v>0</v>
      </c>
      <c r="AB53" s="108">
        <f t="shared" ref="AB53" si="307">L53+T53</f>
        <v>0</v>
      </c>
      <c r="AC53" s="105">
        <f>SUM(AD53,AF53)</f>
        <v>0</v>
      </c>
      <c r="AD53" s="106"/>
      <c r="AE53" s="107"/>
      <c r="AF53" s="108"/>
      <c r="AG53" s="105">
        <f>SUM(AH53,AJ53)</f>
        <v>0</v>
      </c>
      <c r="AH53" s="106"/>
      <c r="AI53" s="107"/>
      <c r="AJ53" s="108"/>
      <c r="AK53" s="105">
        <f t="shared" ref="AK53:AK56" si="308">SUM(AL53,AN53)</f>
        <v>337.21000000000004</v>
      </c>
      <c r="AL53" s="106">
        <f t="shared" ref="AL53:AL56" si="309">V53+AD53</f>
        <v>335.01000000000005</v>
      </c>
      <c r="AM53" s="107">
        <f t="shared" ref="AM53:AM56" si="310">W53+AE53</f>
        <v>240.78</v>
      </c>
      <c r="AN53" s="108">
        <f t="shared" ref="AN53:AN56" si="311">X53+AF53</f>
        <v>2.2000000000000002</v>
      </c>
      <c r="AO53" s="105">
        <f t="shared" ref="AO53:AO56" si="312">SUM(AP53,AR53)</f>
        <v>0</v>
      </c>
      <c r="AP53" s="106">
        <f t="shared" ref="AP53:AP56" si="313">Z53+AH53</f>
        <v>0</v>
      </c>
      <c r="AQ53" s="107">
        <f t="shared" ref="AQ53:AQ56" si="314">AA53+AI53</f>
        <v>0</v>
      </c>
      <c r="AR53" s="108">
        <f t="shared" ref="AR53:AR56" si="315">AB53+AJ53</f>
        <v>0</v>
      </c>
      <c r="AS53" s="105">
        <f>SUM(AT53,AV53)</f>
        <v>-1.1020000000000001</v>
      </c>
      <c r="AT53" s="106">
        <v>-1.1020000000000001</v>
      </c>
      <c r="AU53" s="107">
        <v>-1.0860000000000001</v>
      </c>
      <c r="AV53" s="108"/>
      <c r="AW53" s="105">
        <f>SUM(AX53,AZ53)</f>
        <v>0</v>
      </c>
      <c r="AX53" s="106"/>
      <c r="AY53" s="107"/>
      <c r="AZ53" s="108"/>
      <c r="BA53" s="105">
        <f t="shared" ref="BA53:BA56" si="316">SUM(BB53,BD53)</f>
        <v>336.10800000000006</v>
      </c>
      <c r="BB53" s="106">
        <f t="shared" ref="BB53:BB56" si="317">AL53+AT53</f>
        <v>333.90800000000007</v>
      </c>
      <c r="BC53" s="107">
        <f t="shared" ref="BC53:BC56" si="318">AM53+AU53</f>
        <v>239.69399999999999</v>
      </c>
      <c r="BD53" s="108">
        <f t="shared" ref="BD53:BD56" si="319">AN53+AV53</f>
        <v>2.2000000000000002</v>
      </c>
      <c r="BE53" s="105">
        <f t="shared" ref="BE53:BE56" si="320">SUM(BF53,BH53)</f>
        <v>0</v>
      </c>
      <c r="BF53" s="106">
        <f t="shared" ref="BF53:BF56" si="321">AP53+AX53</f>
        <v>0</v>
      </c>
      <c r="BG53" s="107">
        <f t="shared" ref="BG53:BG56" si="322">AQ53+AY53</f>
        <v>0</v>
      </c>
      <c r="BH53" s="108">
        <f t="shared" ref="BH53:BH56" si="323">AR53+AZ53</f>
        <v>0</v>
      </c>
      <c r="BI53" s="105">
        <f>SUM(BJ53,BL53)</f>
        <v>0</v>
      </c>
      <c r="BJ53" s="106"/>
      <c r="BK53" s="107"/>
      <c r="BL53" s="108"/>
      <c r="BM53" s="105">
        <f>SUM(BN53,BP53)</f>
        <v>0</v>
      </c>
      <c r="BN53" s="106"/>
      <c r="BO53" s="107"/>
      <c r="BP53" s="108"/>
      <c r="BQ53" s="105">
        <f t="shared" ref="BQ53:BQ56" si="324">SUM(BR53,BT53)</f>
        <v>336.10800000000006</v>
      </c>
      <c r="BR53" s="106">
        <f t="shared" ref="BR53:BR56" si="325">BB53+BJ53</f>
        <v>333.90800000000007</v>
      </c>
      <c r="BS53" s="107">
        <f t="shared" ref="BS53:BS56" si="326">BC53+BK53</f>
        <v>239.69399999999999</v>
      </c>
      <c r="BT53" s="108">
        <f t="shared" ref="BT53:BT56" si="327">BD53+BL53</f>
        <v>2.2000000000000002</v>
      </c>
      <c r="BU53" s="105">
        <f t="shared" ref="BU53:BU56" si="328">SUM(BV53,BX53)</f>
        <v>0</v>
      </c>
      <c r="BV53" s="106">
        <f t="shared" ref="BV53:BV56" si="329">BF53+BN53</f>
        <v>0</v>
      </c>
      <c r="BW53" s="107">
        <f t="shared" ref="BW53:BW56" si="330">BG53+BO53</f>
        <v>0</v>
      </c>
      <c r="BX53" s="108">
        <f t="shared" ref="BX53:BX56" si="331">BH53+BP53</f>
        <v>0</v>
      </c>
      <c r="BY53" s="164">
        <f>SUM(BZ53,CB53)</f>
        <v>0</v>
      </c>
      <c r="BZ53" s="147"/>
      <c r="CA53" s="161"/>
      <c r="CB53" s="162"/>
      <c r="CC53" s="164">
        <f>SUM(CD53,CF53)</f>
        <v>0</v>
      </c>
      <c r="CD53" s="147"/>
      <c r="CE53" s="161"/>
      <c r="CF53" s="162"/>
      <c r="CG53" s="105">
        <f t="shared" ref="CG53:CG56" si="332">SUM(CH53,CJ53)</f>
        <v>336.10800000000006</v>
      </c>
      <c r="CH53" s="106">
        <f t="shared" ref="CH53:CH56" si="333">BR53+BZ53</f>
        <v>333.90800000000007</v>
      </c>
      <c r="CI53" s="107">
        <f t="shared" ref="CI53:CI56" si="334">BS53+CA53</f>
        <v>239.69399999999999</v>
      </c>
      <c r="CJ53" s="108">
        <f t="shared" ref="CJ53:CJ56" si="335">BT53+CB53</f>
        <v>2.2000000000000002</v>
      </c>
      <c r="CK53" s="105">
        <f t="shared" ref="CK53:CK56" si="336">SUM(CL53,CN53)</f>
        <v>0</v>
      </c>
      <c r="CL53" s="106">
        <f t="shared" ref="CL53:CL56" si="337">BV53+CD53</f>
        <v>0</v>
      </c>
      <c r="CM53" s="107">
        <f t="shared" ref="CM53:CM56" si="338">BW53+CE53</f>
        <v>0</v>
      </c>
      <c r="CN53" s="108">
        <f t="shared" ref="CN53:CN56" si="339">BX53+CF53</f>
        <v>0</v>
      </c>
      <c r="CO53" s="164">
        <f>SUM(CP53,CR53)</f>
        <v>0</v>
      </c>
      <c r="CP53" s="147"/>
      <c r="CQ53" s="161"/>
      <c r="CR53" s="162"/>
      <c r="CS53" s="164">
        <f>SUM(CT53,CV53)</f>
        <v>0</v>
      </c>
      <c r="CT53" s="147"/>
      <c r="CU53" s="161"/>
      <c r="CV53" s="162"/>
      <c r="CW53" s="105">
        <f t="shared" ref="CW53:CW56" si="340">SUM(CX53,CZ53)</f>
        <v>336.10800000000006</v>
      </c>
      <c r="CX53" s="106">
        <f t="shared" ref="CX53:CX56" si="341">CH53+CP53</f>
        <v>333.90800000000007</v>
      </c>
      <c r="CY53" s="107">
        <f t="shared" ref="CY53:CY56" si="342">CI53+CQ53</f>
        <v>239.69399999999999</v>
      </c>
      <c r="CZ53" s="108">
        <f t="shared" ref="CZ53:CZ56" si="343">CJ53+CR53</f>
        <v>2.2000000000000002</v>
      </c>
      <c r="DA53" s="105">
        <f t="shared" ref="DA53:DA56" si="344">SUM(DB53,DD53)</f>
        <v>0</v>
      </c>
      <c r="DB53" s="106">
        <f t="shared" ref="DB53:DB56" si="345">CL53+CT53</f>
        <v>0</v>
      </c>
      <c r="DC53" s="107">
        <f t="shared" ref="DC53:DC56" si="346">CM53+CU53</f>
        <v>0</v>
      </c>
      <c r="DD53" s="108">
        <f t="shared" ref="DD53:DD56" si="347">CN53+CV53</f>
        <v>0</v>
      </c>
      <c r="DE53" s="164">
        <f>SUM(DF53,DH53)</f>
        <v>0</v>
      </c>
      <c r="DF53" s="147"/>
      <c r="DG53" s="161"/>
      <c r="DH53" s="162"/>
      <c r="DI53" s="164">
        <f>SUM(DJ53,DL53)</f>
        <v>0</v>
      </c>
      <c r="DJ53" s="147"/>
      <c r="DK53" s="161"/>
      <c r="DL53" s="162"/>
      <c r="DM53" s="105">
        <f t="shared" ref="DM53:DM56" si="348">SUM(DN53,DP53)</f>
        <v>336.10800000000006</v>
      </c>
      <c r="DN53" s="106">
        <f t="shared" ref="DN53:DN56" si="349">CX53+DF53</f>
        <v>333.90800000000007</v>
      </c>
      <c r="DO53" s="107">
        <f t="shared" ref="DO53:DO56" si="350">CY53+DG53</f>
        <v>239.69399999999999</v>
      </c>
      <c r="DP53" s="108">
        <f t="shared" ref="DP53:DP56" si="351">CZ53+DH53</f>
        <v>2.2000000000000002</v>
      </c>
      <c r="DQ53" s="105">
        <f t="shared" ref="DQ53:DQ56" si="352">SUM(DR53,DT53)</f>
        <v>0</v>
      </c>
      <c r="DR53" s="106">
        <f t="shared" ref="DR53:DR56" si="353">DB53+DJ53</f>
        <v>0</v>
      </c>
      <c r="DS53" s="107">
        <f t="shared" ref="DS53:DS56" si="354">DC53+DK53</f>
        <v>0</v>
      </c>
      <c r="DT53" s="108">
        <f t="shared" ref="DT53:DT56" si="355">DD53+DL53</f>
        <v>0</v>
      </c>
      <c r="DU53" s="164">
        <f>SUM(DV53,DX53)</f>
        <v>0</v>
      </c>
      <c r="DV53" s="147"/>
      <c r="DW53" s="161"/>
      <c r="DX53" s="162"/>
      <c r="DY53" s="164">
        <f>SUM(DZ53,EB53)</f>
        <v>0</v>
      </c>
      <c r="DZ53" s="147"/>
      <c r="EA53" s="161"/>
      <c r="EB53" s="162"/>
      <c r="EC53" s="105">
        <f t="shared" ref="EC53:EC56" si="356">SUM(ED53,EF53)</f>
        <v>336.10800000000006</v>
      </c>
      <c r="ED53" s="106">
        <f t="shared" ref="ED53:ED56" si="357">DN53+DV53</f>
        <v>333.90800000000007</v>
      </c>
      <c r="EE53" s="107">
        <f t="shared" ref="EE53:EE56" si="358">DO53+DW53</f>
        <v>239.69399999999999</v>
      </c>
      <c r="EF53" s="108">
        <f t="shared" ref="EF53:EF56" si="359">DP53+DX53</f>
        <v>2.2000000000000002</v>
      </c>
      <c r="EG53" s="105">
        <f t="shared" ref="EG53:EG56" si="360">SUM(EH53,EJ53)</f>
        <v>0</v>
      </c>
      <c r="EH53" s="106">
        <f t="shared" ref="EH53:EH56" si="361">DR53+DZ53</f>
        <v>0</v>
      </c>
      <c r="EI53" s="107">
        <f t="shared" ref="EI53:EI56" si="362">DS53+EA53</f>
        <v>0</v>
      </c>
      <c r="EJ53" s="108">
        <f t="shared" ref="EJ53:EJ56" si="363">DT53+EB53</f>
        <v>0</v>
      </c>
      <c r="EK53" s="163">
        <f t="shared" si="0"/>
        <v>25.15399999999994</v>
      </c>
      <c r="EL53" s="163">
        <f t="shared" si="1"/>
        <v>26.255999999999915</v>
      </c>
      <c r="EM53" s="105">
        <f>SUM(EN53,EP53)</f>
        <v>362.36399999999998</v>
      </c>
      <c r="EN53" s="106">
        <f>ER53+342.1+1.32</f>
        <v>359.464</v>
      </c>
      <c r="EO53" s="107">
        <f>ES53+247-1.2</f>
        <v>261.55</v>
      </c>
      <c r="EP53" s="108">
        <v>2.9</v>
      </c>
      <c r="EQ53" s="105">
        <f>SUM(ER53,ET53)</f>
        <v>16.044</v>
      </c>
      <c r="ER53" s="106">
        <f>0.064+15.98</f>
        <v>16.044</v>
      </c>
      <c r="ES53" s="107">
        <v>15.75</v>
      </c>
      <c r="ET53" s="108"/>
    </row>
    <row r="54" spans="1:150" s="4" customFormat="1" ht="21.65" customHeight="1" x14ac:dyDescent="0.25">
      <c r="A54" s="716"/>
      <c r="B54" s="719"/>
      <c r="C54" s="48" t="s">
        <v>54</v>
      </c>
      <c r="D54" s="139" t="s">
        <v>52</v>
      </c>
      <c r="E54" s="105">
        <f>SUM(F54,H54)</f>
        <v>55.195</v>
      </c>
      <c r="F54" s="106">
        <f>53.49+J54</f>
        <v>55.195</v>
      </c>
      <c r="G54" s="107"/>
      <c r="H54" s="108"/>
      <c r="I54" s="105">
        <f>SUM(J54,L54)</f>
        <v>1.7050000000000001</v>
      </c>
      <c r="J54" s="106">
        <v>1.7050000000000001</v>
      </c>
      <c r="K54" s="107"/>
      <c r="L54" s="108"/>
      <c r="M54" s="105">
        <f>SUM(N54,P54)</f>
        <v>0</v>
      </c>
      <c r="N54" s="106"/>
      <c r="O54" s="107"/>
      <c r="P54" s="108"/>
      <c r="Q54" s="105">
        <f>SUM(R54,T54)</f>
        <v>0</v>
      </c>
      <c r="R54" s="106"/>
      <c r="S54" s="107"/>
      <c r="T54" s="108"/>
      <c r="U54" s="105">
        <f t="shared" ref="U54:U56" si="364">SUM(V54,X54)</f>
        <v>55.195</v>
      </c>
      <c r="V54" s="106">
        <f t="shared" ref="V54:V56" si="365">F54+N54</f>
        <v>55.195</v>
      </c>
      <c r="W54" s="107">
        <f t="shared" ref="W54:W56" si="366">G54+O54</f>
        <v>0</v>
      </c>
      <c r="X54" s="108">
        <f t="shared" ref="X54:X56" si="367">H54+P54</f>
        <v>0</v>
      </c>
      <c r="Y54" s="105">
        <f t="shared" ref="Y54:Y56" si="368">SUM(Z54,AB54)</f>
        <v>1.7050000000000001</v>
      </c>
      <c r="Z54" s="106">
        <f t="shared" ref="Z54:Z56" si="369">J54+R54</f>
        <v>1.7050000000000001</v>
      </c>
      <c r="AA54" s="107">
        <f t="shared" ref="AA54:AA56" si="370">K54+S54</f>
        <v>0</v>
      </c>
      <c r="AB54" s="108">
        <f t="shared" ref="AB54:AB56" si="371">L54+T54</f>
        <v>0</v>
      </c>
      <c r="AC54" s="105">
        <f>SUM(AD54,AF54)</f>
        <v>0</v>
      </c>
      <c r="AD54" s="106"/>
      <c r="AE54" s="107"/>
      <c r="AF54" s="108"/>
      <c r="AG54" s="105">
        <f>SUM(AH54,AJ54)</f>
        <v>0</v>
      </c>
      <c r="AH54" s="106"/>
      <c r="AI54" s="107"/>
      <c r="AJ54" s="108"/>
      <c r="AK54" s="105">
        <f t="shared" si="308"/>
        <v>55.195</v>
      </c>
      <c r="AL54" s="106">
        <f t="shared" si="309"/>
        <v>55.195</v>
      </c>
      <c r="AM54" s="107">
        <f t="shared" si="310"/>
        <v>0</v>
      </c>
      <c r="AN54" s="108">
        <f t="shared" si="311"/>
        <v>0</v>
      </c>
      <c r="AO54" s="105">
        <f t="shared" si="312"/>
        <v>1.7050000000000001</v>
      </c>
      <c r="AP54" s="106">
        <f t="shared" si="313"/>
        <v>1.7050000000000001</v>
      </c>
      <c r="AQ54" s="107">
        <f t="shared" si="314"/>
        <v>0</v>
      </c>
      <c r="AR54" s="108">
        <f t="shared" si="315"/>
        <v>0</v>
      </c>
      <c r="AS54" s="105">
        <f>SUM(AT54,AV54)</f>
        <v>0</v>
      </c>
      <c r="AT54" s="106"/>
      <c r="AU54" s="107"/>
      <c r="AV54" s="108"/>
      <c r="AW54" s="105">
        <f>SUM(AX54,AZ54)</f>
        <v>0</v>
      </c>
      <c r="AX54" s="106"/>
      <c r="AY54" s="107"/>
      <c r="AZ54" s="108"/>
      <c r="BA54" s="105">
        <f t="shared" si="316"/>
        <v>55.195</v>
      </c>
      <c r="BB54" s="106">
        <f t="shared" si="317"/>
        <v>55.195</v>
      </c>
      <c r="BC54" s="107">
        <f t="shared" si="318"/>
        <v>0</v>
      </c>
      <c r="BD54" s="108">
        <f t="shared" si="319"/>
        <v>0</v>
      </c>
      <c r="BE54" s="105">
        <f t="shared" si="320"/>
        <v>1.7050000000000001</v>
      </c>
      <c r="BF54" s="106">
        <f t="shared" si="321"/>
        <v>1.7050000000000001</v>
      </c>
      <c r="BG54" s="107">
        <f t="shared" si="322"/>
        <v>0</v>
      </c>
      <c r="BH54" s="108">
        <f t="shared" si="323"/>
        <v>0</v>
      </c>
      <c r="BI54" s="105">
        <f>SUM(BJ54,BL54)</f>
        <v>0</v>
      </c>
      <c r="BJ54" s="106"/>
      <c r="BK54" s="107"/>
      <c r="BL54" s="108"/>
      <c r="BM54" s="105">
        <f>SUM(BN54,BP54)</f>
        <v>0</v>
      </c>
      <c r="BN54" s="106"/>
      <c r="BO54" s="107"/>
      <c r="BP54" s="108"/>
      <c r="BQ54" s="105">
        <f t="shared" si="324"/>
        <v>55.195</v>
      </c>
      <c r="BR54" s="106">
        <f t="shared" si="325"/>
        <v>55.195</v>
      </c>
      <c r="BS54" s="107">
        <f t="shared" si="326"/>
        <v>0</v>
      </c>
      <c r="BT54" s="108">
        <f t="shared" si="327"/>
        <v>0</v>
      </c>
      <c r="BU54" s="105">
        <f t="shared" si="328"/>
        <v>1.7050000000000001</v>
      </c>
      <c r="BV54" s="106">
        <f t="shared" si="329"/>
        <v>1.7050000000000001</v>
      </c>
      <c r="BW54" s="107">
        <f t="shared" si="330"/>
        <v>0</v>
      </c>
      <c r="BX54" s="108">
        <f t="shared" si="331"/>
        <v>0</v>
      </c>
      <c r="BY54" s="164">
        <f>SUM(BZ54,CB54)</f>
        <v>0</v>
      </c>
      <c r="BZ54" s="147"/>
      <c r="CA54" s="161"/>
      <c r="CB54" s="162"/>
      <c r="CC54" s="164">
        <f>SUM(CD54,CF54)</f>
        <v>0</v>
      </c>
      <c r="CD54" s="147"/>
      <c r="CE54" s="161"/>
      <c r="CF54" s="162"/>
      <c r="CG54" s="105">
        <f t="shared" si="332"/>
        <v>55.195</v>
      </c>
      <c r="CH54" s="106">
        <f t="shared" si="333"/>
        <v>55.195</v>
      </c>
      <c r="CI54" s="107">
        <f t="shared" si="334"/>
        <v>0</v>
      </c>
      <c r="CJ54" s="108">
        <f t="shared" si="335"/>
        <v>0</v>
      </c>
      <c r="CK54" s="105">
        <f t="shared" si="336"/>
        <v>1.7050000000000001</v>
      </c>
      <c r="CL54" s="106">
        <f t="shared" si="337"/>
        <v>1.7050000000000001</v>
      </c>
      <c r="CM54" s="107">
        <f t="shared" si="338"/>
        <v>0</v>
      </c>
      <c r="CN54" s="108">
        <f t="shared" si="339"/>
        <v>0</v>
      </c>
      <c r="CO54" s="164">
        <f>SUM(CP54,CR54)</f>
        <v>0</v>
      </c>
      <c r="CP54" s="147"/>
      <c r="CQ54" s="161"/>
      <c r="CR54" s="162"/>
      <c r="CS54" s="164">
        <f>SUM(CT54,CV54)</f>
        <v>0</v>
      </c>
      <c r="CT54" s="147"/>
      <c r="CU54" s="161"/>
      <c r="CV54" s="162"/>
      <c r="CW54" s="105">
        <f t="shared" si="340"/>
        <v>55.195</v>
      </c>
      <c r="CX54" s="106">
        <f t="shared" si="341"/>
        <v>55.195</v>
      </c>
      <c r="CY54" s="107">
        <f t="shared" si="342"/>
        <v>0</v>
      </c>
      <c r="CZ54" s="108">
        <f t="shared" si="343"/>
        <v>0</v>
      </c>
      <c r="DA54" s="105">
        <f t="shared" si="344"/>
        <v>1.7050000000000001</v>
      </c>
      <c r="DB54" s="106">
        <f t="shared" si="345"/>
        <v>1.7050000000000001</v>
      </c>
      <c r="DC54" s="107">
        <f t="shared" si="346"/>
        <v>0</v>
      </c>
      <c r="DD54" s="108">
        <f t="shared" si="347"/>
        <v>0</v>
      </c>
      <c r="DE54" s="164">
        <f>SUM(DF54,DH54)</f>
        <v>0</v>
      </c>
      <c r="DF54" s="147"/>
      <c r="DG54" s="161"/>
      <c r="DH54" s="162"/>
      <c r="DI54" s="164">
        <f>SUM(DJ54,DL54)</f>
        <v>0</v>
      </c>
      <c r="DJ54" s="147"/>
      <c r="DK54" s="161"/>
      <c r="DL54" s="162"/>
      <c r="DM54" s="105">
        <f t="shared" si="348"/>
        <v>55.195</v>
      </c>
      <c r="DN54" s="106">
        <f t="shared" si="349"/>
        <v>55.195</v>
      </c>
      <c r="DO54" s="107">
        <f t="shared" si="350"/>
        <v>0</v>
      </c>
      <c r="DP54" s="108">
        <f t="shared" si="351"/>
        <v>0</v>
      </c>
      <c r="DQ54" s="105">
        <f t="shared" si="352"/>
        <v>1.7050000000000001</v>
      </c>
      <c r="DR54" s="106">
        <f t="shared" si="353"/>
        <v>1.7050000000000001</v>
      </c>
      <c r="DS54" s="107">
        <f t="shared" si="354"/>
        <v>0</v>
      </c>
      <c r="DT54" s="108">
        <f t="shared" si="355"/>
        <v>0</v>
      </c>
      <c r="DU54" s="164">
        <f>SUM(DV54,DX54)</f>
        <v>-10.1</v>
      </c>
      <c r="DV54" s="147">
        <f>-10.2+0.18-0.08</f>
        <v>-10.1</v>
      </c>
      <c r="DW54" s="161"/>
      <c r="DX54" s="162"/>
      <c r="DY54" s="164">
        <f>SUM(DZ54,EB54)</f>
        <v>0</v>
      </c>
      <c r="DZ54" s="147"/>
      <c r="EA54" s="161"/>
      <c r="EB54" s="162"/>
      <c r="EC54" s="105">
        <f t="shared" si="356"/>
        <v>45.094999999999999</v>
      </c>
      <c r="ED54" s="106">
        <f t="shared" si="357"/>
        <v>45.094999999999999</v>
      </c>
      <c r="EE54" s="107">
        <f t="shared" si="358"/>
        <v>0</v>
      </c>
      <c r="EF54" s="108">
        <f t="shared" si="359"/>
        <v>0</v>
      </c>
      <c r="EG54" s="105">
        <f t="shared" si="360"/>
        <v>1.7050000000000001</v>
      </c>
      <c r="EH54" s="106">
        <f t="shared" si="361"/>
        <v>1.7050000000000001</v>
      </c>
      <c r="EI54" s="107">
        <f t="shared" si="362"/>
        <v>0</v>
      </c>
      <c r="EJ54" s="108">
        <f t="shared" si="363"/>
        <v>0</v>
      </c>
      <c r="EK54" s="154">
        <f t="shared" si="0"/>
        <v>-10.919000000000004</v>
      </c>
      <c r="EL54" s="154">
        <f t="shared" si="1"/>
        <v>-0.81900000000000261</v>
      </c>
      <c r="EM54" s="105">
        <f>SUM(EN54,EP54)</f>
        <v>44.275999999999996</v>
      </c>
      <c r="EN54" s="106">
        <f>ER54+42.55</f>
        <v>44.275999999999996</v>
      </c>
      <c r="EO54" s="107"/>
      <c r="EP54" s="108"/>
      <c r="EQ54" s="105">
        <f>SUM(ER54,ET54)</f>
        <v>1.726</v>
      </c>
      <c r="ER54" s="106">
        <v>1.726</v>
      </c>
      <c r="ES54" s="107"/>
      <c r="ET54" s="108"/>
    </row>
    <row r="55" spans="1:150" s="4" customFormat="1" ht="21.65" customHeight="1" x14ac:dyDescent="0.25">
      <c r="A55" s="42" t="s">
        <v>33</v>
      </c>
      <c r="B55" s="103" t="s">
        <v>47</v>
      </c>
      <c r="C55" s="48" t="s">
        <v>55</v>
      </c>
      <c r="D55" s="139" t="s">
        <v>37</v>
      </c>
      <c r="E55" s="105">
        <f>SUM(F55,H55)</f>
        <v>2.48</v>
      </c>
      <c r="F55" s="106">
        <v>2.48</v>
      </c>
      <c r="G55" s="107"/>
      <c r="H55" s="108"/>
      <c r="I55" s="105">
        <f>SUM(J55,L55)</f>
        <v>0</v>
      </c>
      <c r="J55" s="106"/>
      <c r="K55" s="107"/>
      <c r="L55" s="108"/>
      <c r="M55" s="105">
        <f>SUM(N55,P55)</f>
        <v>0</v>
      </c>
      <c r="N55" s="106"/>
      <c r="O55" s="107"/>
      <c r="P55" s="108"/>
      <c r="Q55" s="105">
        <f>SUM(R55,T55)</f>
        <v>0</v>
      </c>
      <c r="R55" s="106"/>
      <c r="S55" s="107"/>
      <c r="T55" s="108"/>
      <c r="U55" s="105">
        <f t="shared" si="364"/>
        <v>2.48</v>
      </c>
      <c r="V55" s="106">
        <f t="shared" si="365"/>
        <v>2.48</v>
      </c>
      <c r="W55" s="107">
        <f t="shared" si="366"/>
        <v>0</v>
      </c>
      <c r="X55" s="108">
        <f t="shared" si="367"/>
        <v>0</v>
      </c>
      <c r="Y55" s="105">
        <f t="shared" si="368"/>
        <v>0</v>
      </c>
      <c r="Z55" s="106">
        <f t="shared" si="369"/>
        <v>0</v>
      </c>
      <c r="AA55" s="107">
        <f t="shared" si="370"/>
        <v>0</v>
      </c>
      <c r="AB55" s="108">
        <f t="shared" si="371"/>
        <v>0</v>
      </c>
      <c r="AC55" s="105">
        <f>SUM(AD55,AF55)</f>
        <v>0</v>
      </c>
      <c r="AD55" s="106"/>
      <c r="AE55" s="107"/>
      <c r="AF55" s="108"/>
      <c r="AG55" s="105">
        <f>SUM(AH55,AJ55)</f>
        <v>0</v>
      </c>
      <c r="AH55" s="106"/>
      <c r="AI55" s="107"/>
      <c r="AJ55" s="108"/>
      <c r="AK55" s="105">
        <f t="shared" si="308"/>
        <v>2.48</v>
      </c>
      <c r="AL55" s="106">
        <f t="shared" si="309"/>
        <v>2.48</v>
      </c>
      <c r="AM55" s="107">
        <f t="shared" si="310"/>
        <v>0</v>
      </c>
      <c r="AN55" s="108">
        <f t="shared" si="311"/>
        <v>0</v>
      </c>
      <c r="AO55" s="105">
        <f t="shared" si="312"/>
        <v>0</v>
      </c>
      <c r="AP55" s="106">
        <f t="shared" si="313"/>
        <v>0</v>
      </c>
      <c r="AQ55" s="107">
        <f t="shared" si="314"/>
        <v>0</v>
      </c>
      <c r="AR55" s="108">
        <f t="shared" si="315"/>
        <v>0</v>
      </c>
      <c r="AS55" s="105">
        <f>SUM(AT55,AV55)</f>
        <v>0</v>
      </c>
      <c r="AT55" s="106"/>
      <c r="AU55" s="107"/>
      <c r="AV55" s="108"/>
      <c r="AW55" s="105">
        <f>SUM(AX55,AZ55)</f>
        <v>0</v>
      </c>
      <c r="AX55" s="106"/>
      <c r="AY55" s="107"/>
      <c r="AZ55" s="108"/>
      <c r="BA55" s="105">
        <f t="shared" si="316"/>
        <v>2.48</v>
      </c>
      <c r="BB55" s="106">
        <f t="shared" si="317"/>
        <v>2.48</v>
      </c>
      <c r="BC55" s="107">
        <f t="shared" si="318"/>
        <v>0</v>
      </c>
      <c r="BD55" s="108">
        <f t="shared" si="319"/>
        <v>0</v>
      </c>
      <c r="BE55" s="105">
        <f t="shared" si="320"/>
        <v>0</v>
      </c>
      <c r="BF55" s="106">
        <f t="shared" si="321"/>
        <v>0</v>
      </c>
      <c r="BG55" s="107">
        <f t="shared" si="322"/>
        <v>0</v>
      </c>
      <c r="BH55" s="108">
        <f t="shared" si="323"/>
        <v>0</v>
      </c>
      <c r="BI55" s="105">
        <f>SUM(BJ55,BL55)</f>
        <v>0</v>
      </c>
      <c r="BJ55" s="106"/>
      <c r="BK55" s="107"/>
      <c r="BL55" s="108"/>
      <c r="BM55" s="105">
        <f>SUM(BN55,BP55)</f>
        <v>0</v>
      </c>
      <c r="BN55" s="106"/>
      <c r="BO55" s="107"/>
      <c r="BP55" s="108"/>
      <c r="BQ55" s="105">
        <f t="shared" si="324"/>
        <v>2.48</v>
      </c>
      <c r="BR55" s="106">
        <f t="shared" si="325"/>
        <v>2.48</v>
      </c>
      <c r="BS55" s="107">
        <f t="shared" si="326"/>
        <v>0</v>
      </c>
      <c r="BT55" s="108">
        <f t="shared" si="327"/>
        <v>0</v>
      </c>
      <c r="BU55" s="105">
        <f t="shared" si="328"/>
        <v>0</v>
      </c>
      <c r="BV55" s="106">
        <f t="shared" si="329"/>
        <v>0</v>
      </c>
      <c r="BW55" s="107">
        <f t="shared" si="330"/>
        <v>0</v>
      </c>
      <c r="BX55" s="108">
        <f t="shared" si="331"/>
        <v>0</v>
      </c>
      <c r="BY55" s="164">
        <f>SUM(BZ55,CB55)</f>
        <v>0</v>
      </c>
      <c r="BZ55" s="147"/>
      <c r="CA55" s="161"/>
      <c r="CB55" s="162"/>
      <c r="CC55" s="164">
        <f>SUM(CD55,CF55)</f>
        <v>0</v>
      </c>
      <c r="CD55" s="147"/>
      <c r="CE55" s="161"/>
      <c r="CF55" s="162"/>
      <c r="CG55" s="105">
        <f t="shared" si="332"/>
        <v>2.48</v>
      </c>
      <c r="CH55" s="106">
        <f t="shared" si="333"/>
        <v>2.48</v>
      </c>
      <c r="CI55" s="107">
        <f t="shared" si="334"/>
        <v>0</v>
      </c>
      <c r="CJ55" s="108">
        <f t="shared" si="335"/>
        <v>0</v>
      </c>
      <c r="CK55" s="105">
        <f t="shared" si="336"/>
        <v>0</v>
      </c>
      <c r="CL55" s="106">
        <f t="shared" si="337"/>
        <v>0</v>
      </c>
      <c r="CM55" s="107">
        <f t="shared" si="338"/>
        <v>0</v>
      </c>
      <c r="CN55" s="108">
        <f t="shared" si="339"/>
        <v>0</v>
      </c>
      <c r="CO55" s="164">
        <f>SUM(CP55,CR55)</f>
        <v>0</v>
      </c>
      <c r="CP55" s="147"/>
      <c r="CQ55" s="161"/>
      <c r="CR55" s="162"/>
      <c r="CS55" s="164">
        <f>SUM(CT55,CV55)</f>
        <v>0</v>
      </c>
      <c r="CT55" s="147"/>
      <c r="CU55" s="161"/>
      <c r="CV55" s="162"/>
      <c r="CW55" s="105">
        <f t="shared" si="340"/>
        <v>2.48</v>
      </c>
      <c r="CX55" s="106">
        <f t="shared" si="341"/>
        <v>2.48</v>
      </c>
      <c r="CY55" s="107">
        <f t="shared" si="342"/>
        <v>0</v>
      </c>
      <c r="CZ55" s="108">
        <f t="shared" si="343"/>
        <v>0</v>
      </c>
      <c r="DA55" s="105">
        <f t="shared" si="344"/>
        <v>0</v>
      </c>
      <c r="DB55" s="106">
        <f t="shared" si="345"/>
        <v>0</v>
      </c>
      <c r="DC55" s="107">
        <f t="shared" si="346"/>
        <v>0</v>
      </c>
      <c r="DD55" s="108">
        <f t="shared" si="347"/>
        <v>0</v>
      </c>
      <c r="DE55" s="164">
        <f>SUM(DF55,DH55)</f>
        <v>0</v>
      </c>
      <c r="DF55" s="147"/>
      <c r="DG55" s="161"/>
      <c r="DH55" s="162"/>
      <c r="DI55" s="164">
        <f>SUM(DJ55,DL55)</f>
        <v>0</v>
      </c>
      <c r="DJ55" s="147"/>
      <c r="DK55" s="161"/>
      <c r="DL55" s="162"/>
      <c r="DM55" s="105">
        <f t="shared" si="348"/>
        <v>2.48</v>
      </c>
      <c r="DN55" s="106">
        <f t="shared" si="349"/>
        <v>2.48</v>
      </c>
      <c r="DO55" s="107">
        <f t="shared" si="350"/>
        <v>0</v>
      </c>
      <c r="DP55" s="108">
        <f t="shared" si="351"/>
        <v>0</v>
      </c>
      <c r="DQ55" s="105">
        <f t="shared" si="352"/>
        <v>0</v>
      </c>
      <c r="DR55" s="106">
        <f t="shared" si="353"/>
        <v>0</v>
      </c>
      <c r="DS55" s="107">
        <f t="shared" si="354"/>
        <v>0</v>
      </c>
      <c r="DT55" s="108">
        <f t="shared" si="355"/>
        <v>0</v>
      </c>
      <c r="DU55" s="164">
        <f>SUM(DV55,DX55)</f>
        <v>0</v>
      </c>
      <c r="DV55" s="147"/>
      <c r="DW55" s="161"/>
      <c r="DX55" s="162"/>
      <c r="DY55" s="164">
        <f>SUM(DZ55,EB55)</f>
        <v>0</v>
      </c>
      <c r="DZ55" s="147"/>
      <c r="EA55" s="161"/>
      <c r="EB55" s="162"/>
      <c r="EC55" s="105">
        <f t="shared" si="356"/>
        <v>2.48</v>
      </c>
      <c r="ED55" s="106">
        <f t="shared" si="357"/>
        <v>2.48</v>
      </c>
      <c r="EE55" s="107">
        <f t="shared" si="358"/>
        <v>0</v>
      </c>
      <c r="EF55" s="108">
        <f t="shared" si="359"/>
        <v>0</v>
      </c>
      <c r="EG55" s="105">
        <f t="shared" si="360"/>
        <v>0</v>
      </c>
      <c r="EH55" s="106">
        <f t="shared" si="361"/>
        <v>0</v>
      </c>
      <c r="EI55" s="107">
        <f t="shared" si="362"/>
        <v>0</v>
      </c>
      <c r="EJ55" s="108">
        <f t="shared" si="363"/>
        <v>0</v>
      </c>
      <c r="EK55" s="154">
        <f t="shared" si="0"/>
        <v>-1.0900000000000001</v>
      </c>
      <c r="EL55" s="154">
        <f t="shared" si="1"/>
        <v>-1.0900000000000001</v>
      </c>
      <c r="EM55" s="105">
        <f>SUM(EN55,EP55)</f>
        <v>1.39</v>
      </c>
      <c r="EN55" s="106">
        <v>1.39</v>
      </c>
      <c r="EO55" s="107"/>
      <c r="EP55" s="108"/>
      <c r="EQ55" s="105">
        <f>SUM(ER55,ET55)</f>
        <v>0</v>
      </c>
      <c r="ER55" s="106"/>
      <c r="ES55" s="107"/>
      <c r="ET55" s="108"/>
    </row>
    <row r="56" spans="1:150" s="4" customFormat="1" ht="21.65" customHeight="1" x14ac:dyDescent="0.25">
      <c r="A56" s="139" t="s">
        <v>7</v>
      </c>
      <c r="B56" s="25" t="s">
        <v>49</v>
      </c>
      <c r="C56" s="48" t="s">
        <v>144</v>
      </c>
      <c r="D56" s="139" t="s">
        <v>37</v>
      </c>
      <c r="E56" s="105"/>
      <c r="F56" s="106"/>
      <c r="G56" s="107"/>
      <c r="H56" s="108"/>
      <c r="I56" s="105"/>
      <c r="J56" s="106"/>
      <c r="K56" s="107"/>
      <c r="L56" s="108"/>
      <c r="M56" s="105"/>
      <c r="N56" s="106"/>
      <c r="O56" s="107"/>
      <c r="P56" s="108"/>
      <c r="Q56" s="105"/>
      <c r="R56" s="106"/>
      <c r="S56" s="107"/>
      <c r="T56" s="108"/>
      <c r="U56" s="105">
        <f t="shared" si="364"/>
        <v>0</v>
      </c>
      <c r="V56" s="106">
        <f t="shared" si="365"/>
        <v>0</v>
      </c>
      <c r="W56" s="107">
        <f t="shared" si="366"/>
        <v>0</v>
      </c>
      <c r="X56" s="108">
        <f t="shared" si="367"/>
        <v>0</v>
      </c>
      <c r="Y56" s="105">
        <f t="shared" si="368"/>
        <v>0</v>
      </c>
      <c r="Z56" s="106">
        <f t="shared" si="369"/>
        <v>0</v>
      </c>
      <c r="AA56" s="107">
        <f t="shared" si="370"/>
        <v>0</v>
      </c>
      <c r="AB56" s="108">
        <f t="shared" si="371"/>
        <v>0</v>
      </c>
      <c r="AC56" s="105"/>
      <c r="AD56" s="106"/>
      <c r="AE56" s="107"/>
      <c r="AF56" s="108"/>
      <c r="AG56" s="105"/>
      <c r="AH56" s="106"/>
      <c r="AI56" s="107"/>
      <c r="AJ56" s="108"/>
      <c r="AK56" s="105">
        <f t="shared" si="308"/>
        <v>0</v>
      </c>
      <c r="AL56" s="106">
        <f t="shared" si="309"/>
        <v>0</v>
      </c>
      <c r="AM56" s="107">
        <f t="shared" si="310"/>
        <v>0</v>
      </c>
      <c r="AN56" s="108">
        <f t="shared" si="311"/>
        <v>0</v>
      </c>
      <c r="AO56" s="105">
        <f t="shared" si="312"/>
        <v>0</v>
      </c>
      <c r="AP56" s="106">
        <f t="shared" si="313"/>
        <v>0</v>
      </c>
      <c r="AQ56" s="107">
        <f t="shared" si="314"/>
        <v>0</v>
      </c>
      <c r="AR56" s="108">
        <f t="shared" si="315"/>
        <v>0</v>
      </c>
      <c r="AS56" s="105"/>
      <c r="AT56" s="106"/>
      <c r="AU56" s="107"/>
      <c r="AV56" s="108"/>
      <c r="AW56" s="105"/>
      <c r="AX56" s="106"/>
      <c r="AY56" s="107"/>
      <c r="AZ56" s="108"/>
      <c r="BA56" s="105">
        <f t="shared" si="316"/>
        <v>0</v>
      </c>
      <c r="BB56" s="106">
        <f t="shared" si="317"/>
        <v>0</v>
      </c>
      <c r="BC56" s="107">
        <f t="shared" si="318"/>
        <v>0</v>
      </c>
      <c r="BD56" s="108">
        <f t="shared" si="319"/>
        <v>0</v>
      </c>
      <c r="BE56" s="105">
        <f t="shared" si="320"/>
        <v>0</v>
      </c>
      <c r="BF56" s="106">
        <f t="shared" si="321"/>
        <v>0</v>
      </c>
      <c r="BG56" s="107">
        <f t="shared" si="322"/>
        <v>0</v>
      </c>
      <c r="BH56" s="108">
        <f t="shared" si="323"/>
        <v>0</v>
      </c>
      <c r="BI56" s="105">
        <f>SUM(BJ56,BL56)</f>
        <v>18.734000000000002</v>
      </c>
      <c r="BJ56" s="106">
        <v>18.734000000000002</v>
      </c>
      <c r="BK56" s="107"/>
      <c r="BL56" s="108"/>
      <c r="BM56" s="105"/>
      <c r="BN56" s="106"/>
      <c r="BO56" s="107"/>
      <c r="BP56" s="108"/>
      <c r="BQ56" s="105">
        <f t="shared" si="324"/>
        <v>18.734000000000002</v>
      </c>
      <c r="BR56" s="106">
        <f t="shared" si="325"/>
        <v>18.734000000000002</v>
      </c>
      <c r="BS56" s="107">
        <f t="shared" si="326"/>
        <v>0</v>
      </c>
      <c r="BT56" s="108">
        <f t="shared" si="327"/>
        <v>0</v>
      </c>
      <c r="BU56" s="105">
        <f t="shared" si="328"/>
        <v>0</v>
      </c>
      <c r="BV56" s="106">
        <f t="shared" si="329"/>
        <v>0</v>
      </c>
      <c r="BW56" s="107">
        <f t="shared" si="330"/>
        <v>0</v>
      </c>
      <c r="BX56" s="108">
        <f t="shared" si="331"/>
        <v>0</v>
      </c>
      <c r="BY56" s="164">
        <f>SUM(BZ56,CB56)</f>
        <v>0</v>
      </c>
      <c r="BZ56" s="147"/>
      <c r="CA56" s="161"/>
      <c r="CB56" s="162"/>
      <c r="CC56" s="164"/>
      <c r="CD56" s="147"/>
      <c r="CE56" s="161"/>
      <c r="CF56" s="162"/>
      <c r="CG56" s="105">
        <f t="shared" si="332"/>
        <v>18.734000000000002</v>
      </c>
      <c r="CH56" s="106">
        <f t="shared" si="333"/>
        <v>18.734000000000002</v>
      </c>
      <c r="CI56" s="107">
        <f t="shared" si="334"/>
        <v>0</v>
      </c>
      <c r="CJ56" s="108">
        <f t="shared" si="335"/>
        <v>0</v>
      </c>
      <c r="CK56" s="105">
        <f t="shared" si="336"/>
        <v>0</v>
      </c>
      <c r="CL56" s="106">
        <f t="shared" si="337"/>
        <v>0</v>
      </c>
      <c r="CM56" s="107">
        <f t="shared" si="338"/>
        <v>0</v>
      </c>
      <c r="CN56" s="108">
        <f t="shared" si="339"/>
        <v>0</v>
      </c>
      <c r="CO56" s="164">
        <f>SUM(CP56,CR56)</f>
        <v>5.4980000000000002</v>
      </c>
      <c r="CP56" s="147">
        <v>5.4980000000000002</v>
      </c>
      <c r="CQ56" s="161"/>
      <c r="CR56" s="162"/>
      <c r="CS56" s="164"/>
      <c r="CT56" s="147"/>
      <c r="CU56" s="161"/>
      <c r="CV56" s="162"/>
      <c r="CW56" s="105">
        <f t="shared" si="340"/>
        <v>24.232000000000003</v>
      </c>
      <c r="CX56" s="106">
        <f t="shared" si="341"/>
        <v>24.232000000000003</v>
      </c>
      <c r="CY56" s="107">
        <f t="shared" si="342"/>
        <v>0</v>
      </c>
      <c r="CZ56" s="108">
        <f t="shared" si="343"/>
        <v>0</v>
      </c>
      <c r="DA56" s="105">
        <f t="shared" si="344"/>
        <v>0</v>
      </c>
      <c r="DB56" s="106">
        <f t="shared" si="345"/>
        <v>0</v>
      </c>
      <c r="DC56" s="107">
        <f t="shared" si="346"/>
        <v>0</v>
      </c>
      <c r="DD56" s="108">
        <f t="shared" si="347"/>
        <v>0</v>
      </c>
      <c r="DE56" s="164">
        <f>SUM(DF56,DH56)</f>
        <v>0</v>
      </c>
      <c r="DF56" s="147"/>
      <c r="DG56" s="161"/>
      <c r="DH56" s="162"/>
      <c r="DI56" s="164"/>
      <c r="DJ56" s="147"/>
      <c r="DK56" s="161"/>
      <c r="DL56" s="162"/>
      <c r="DM56" s="105">
        <f t="shared" si="348"/>
        <v>24.232000000000003</v>
      </c>
      <c r="DN56" s="106">
        <f t="shared" si="349"/>
        <v>24.232000000000003</v>
      </c>
      <c r="DO56" s="107">
        <f t="shared" si="350"/>
        <v>0</v>
      </c>
      <c r="DP56" s="108">
        <f t="shared" si="351"/>
        <v>0</v>
      </c>
      <c r="DQ56" s="105">
        <f t="shared" si="352"/>
        <v>0</v>
      </c>
      <c r="DR56" s="106">
        <f t="shared" si="353"/>
        <v>0</v>
      </c>
      <c r="DS56" s="107">
        <f t="shared" si="354"/>
        <v>0</v>
      </c>
      <c r="DT56" s="108">
        <f t="shared" si="355"/>
        <v>0</v>
      </c>
      <c r="DU56" s="164">
        <f>SUM(DV56,DX56)</f>
        <v>0</v>
      </c>
      <c r="DV56" s="147"/>
      <c r="DW56" s="161"/>
      <c r="DX56" s="162"/>
      <c r="DY56" s="164"/>
      <c r="DZ56" s="147"/>
      <c r="EA56" s="161"/>
      <c r="EB56" s="162"/>
      <c r="EC56" s="105">
        <f t="shared" si="356"/>
        <v>24.232000000000003</v>
      </c>
      <c r="ED56" s="106">
        <f t="shared" si="357"/>
        <v>24.232000000000003</v>
      </c>
      <c r="EE56" s="107">
        <f t="shared" si="358"/>
        <v>0</v>
      </c>
      <c r="EF56" s="108">
        <f t="shared" si="359"/>
        <v>0</v>
      </c>
      <c r="EG56" s="105">
        <f t="shared" si="360"/>
        <v>0</v>
      </c>
      <c r="EH56" s="106">
        <f t="shared" si="361"/>
        <v>0</v>
      </c>
      <c r="EI56" s="107">
        <f t="shared" si="362"/>
        <v>0</v>
      </c>
      <c r="EJ56" s="108">
        <f t="shared" si="363"/>
        <v>0</v>
      </c>
      <c r="EK56" s="153">
        <f t="shared" si="0"/>
        <v>0</v>
      </c>
      <c r="EL56" s="154">
        <f t="shared" si="1"/>
        <v>-24.232000000000003</v>
      </c>
      <c r="EM56" s="105"/>
      <c r="EN56" s="106"/>
      <c r="EO56" s="107"/>
      <c r="EP56" s="108"/>
      <c r="EQ56" s="105"/>
      <c r="ER56" s="106"/>
      <c r="ES56" s="107"/>
      <c r="ET56" s="108"/>
    </row>
    <row r="57" spans="1:150" ht="23.4" customHeight="1" x14ac:dyDescent="0.3">
      <c r="A57" s="46"/>
      <c r="B57" s="33" t="s">
        <v>14</v>
      </c>
      <c r="C57" s="47" t="s">
        <v>140</v>
      </c>
      <c r="D57" s="93"/>
      <c r="E57" s="148">
        <f>SUM(F57,H57)</f>
        <v>348.75400000000002</v>
      </c>
      <c r="F57" s="149">
        <f>SUM(F59:F63)</f>
        <v>345.12400000000002</v>
      </c>
      <c r="G57" s="150">
        <f>SUM(G59:G62)</f>
        <v>215.6</v>
      </c>
      <c r="H57" s="151">
        <f>SUM(H59:H62)</f>
        <v>3.63</v>
      </c>
      <c r="I57" s="148">
        <f>SUM(J57,L57)</f>
        <v>0.23399999999999999</v>
      </c>
      <c r="J57" s="149">
        <f>SUM(J59:J63)</f>
        <v>0.23399999999999999</v>
      </c>
      <c r="K57" s="150">
        <f>SUM(K59:K62)</f>
        <v>0</v>
      </c>
      <c r="L57" s="151">
        <f>SUM(L59:L62)</f>
        <v>0</v>
      </c>
      <c r="M57" s="148">
        <f>SUM(N57,P57)</f>
        <v>0</v>
      </c>
      <c r="N57" s="149">
        <f>SUM(N59:N63)</f>
        <v>0</v>
      </c>
      <c r="O57" s="150">
        <f>SUM(O59:O62)</f>
        <v>0</v>
      </c>
      <c r="P57" s="151">
        <f>SUM(P59:P62)</f>
        <v>0</v>
      </c>
      <c r="Q57" s="148">
        <f>SUM(R57,T57)</f>
        <v>0</v>
      </c>
      <c r="R57" s="149">
        <f>SUM(R59:R63)</f>
        <v>0</v>
      </c>
      <c r="S57" s="150">
        <f>SUM(S59:S62)</f>
        <v>0</v>
      </c>
      <c r="T57" s="151">
        <f>SUM(T59:T62)</f>
        <v>0</v>
      </c>
      <c r="U57" s="148">
        <f>SUM(V57,X57)</f>
        <v>348.75400000000002</v>
      </c>
      <c r="V57" s="149">
        <f>SUM(V59:V63)</f>
        <v>345.12400000000002</v>
      </c>
      <c r="W57" s="150">
        <f>SUM(W59:W62)</f>
        <v>215.6</v>
      </c>
      <c r="X57" s="151">
        <f>SUM(X59:X62)</f>
        <v>3.63</v>
      </c>
      <c r="Y57" s="148">
        <f>SUM(Z57,AB57)</f>
        <v>0.23399999999999999</v>
      </c>
      <c r="Z57" s="149">
        <f>SUM(Z59:Z63)</f>
        <v>0.23399999999999999</v>
      </c>
      <c r="AA57" s="150">
        <f>SUM(AA59:AA62)</f>
        <v>0</v>
      </c>
      <c r="AB57" s="151">
        <f>SUM(AB59:AB62)</f>
        <v>0</v>
      </c>
      <c r="AC57" s="148">
        <f>SUM(AD57,AF57)</f>
        <v>5.5809999999999995</v>
      </c>
      <c r="AD57" s="149">
        <f>SUM(AD59:AD63)</f>
        <v>5.5809999999999995</v>
      </c>
      <c r="AE57" s="150">
        <f>SUM(AE59:AE62)</f>
        <v>0</v>
      </c>
      <c r="AF57" s="151">
        <f>SUM(AF59:AF62)</f>
        <v>0</v>
      </c>
      <c r="AG57" s="148">
        <f>SUM(AH57,AJ57)</f>
        <v>0</v>
      </c>
      <c r="AH57" s="149">
        <f>SUM(AH59:AH63)</f>
        <v>0</v>
      </c>
      <c r="AI57" s="150">
        <f>SUM(AI59:AI62)</f>
        <v>0</v>
      </c>
      <c r="AJ57" s="151">
        <f>SUM(AJ59:AJ62)</f>
        <v>0</v>
      </c>
      <c r="AK57" s="148">
        <f>SUM(AL57,AN57)</f>
        <v>354.33500000000004</v>
      </c>
      <c r="AL57" s="149">
        <f>SUM(AL59:AL63)</f>
        <v>350.70500000000004</v>
      </c>
      <c r="AM57" s="150">
        <f>SUM(AM59:AM62)</f>
        <v>215.6</v>
      </c>
      <c r="AN57" s="151">
        <f>SUM(AN59:AN62)</f>
        <v>3.63</v>
      </c>
      <c r="AO57" s="148">
        <f>SUM(AP57,AR57)</f>
        <v>0.23399999999999999</v>
      </c>
      <c r="AP57" s="149">
        <f>SUM(AP59:AP63)</f>
        <v>0.23399999999999999</v>
      </c>
      <c r="AQ57" s="150">
        <f>SUM(AQ59:AQ62)</f>
        <v>0</v>
      </c>
      <c r="AR57" s="151">
        <f>SUM(AR59:AR62)</f>
        <v>0</v>
      </c>
      <c r="AS57" s="148">
        <f>SUM(AT57,AV57)</f>
        <v>13.817</v>
      </c>
      <c r="AT57" s="149">
        <f>SUM(AT59:AT63)</f>
        <v>13.817</v>
      </c>
      <c r="AU57" s="150">
        <f>SUM(AU59:AU62)</f>
        <v>5.5350000000000001</v>
      </c>
      <c r="AV57" s="151">
        <f>SUM(AV59:AV62)</f>
        <v>0</v>
      </c>
      <c r="AW57" s="148">
        <f>SUM(AX57,AZ57)</f>
        <v>0</v>
      </c>
      <c r="AX57" s="149">
        <f>SUM(AX59:AX63)</f>
        <v>0</v>
      </c>
      <c r="AY57" s="150">
        <f>SUM(AY59:AY62)</f>
        <v>0</v>
      </c>
      <c r="AZ57" s="151">
        <f>SUM(AZ59:AZ62)</f>
        <v>0</v>
      </c>
      <c r="BA57" s="148">
        <f>SUM(BB57,BD57)</f>
        <v>368.15200000000004</v>
      </c>
      <c r="BB57" s="149">
        <f>SUM(BB59:BB63)</f>
        <v>364.52200000000005</v>
      </c>
      <c r="BC57" s="150">
        <f>SUM(BC59:BC62)</f>
        <v>221.13499999999999</v>
      </c>
      <c r="BD57" s="151">
        <f>SUM(BD59:BD62)</f>
        <v>3.63</v>
      </c>
      <c r="BE57" s="148">
        <f>SUM(BF57,BH57)</f>
        <v>0.23399999999999999</v>
      </c>
      <c r="BF57" s="149">
        <f>SUM(BF59:BF63)</f>
        <v>0.23399999999999999</v>
      </c>
      <c r="BG57" s="150">
        <f>SUM(BG59:BG62)</f>
        <v>0</v>
      </c>
      <c r="BH57" s="151">
        <f>SUM(BH59:BH62)</f>
        <v>0</v>
      </c>
      <c r="BI57" s="148">
        <f>SUM(BJ57,BL57)</f>
        <v>0</v>
      </c>
      <c r="BJ57" s="149">
        <f>SUM(BJ59:BJ63)</f>
        <v>0</v>
      </c>
      <c r="BK57" s="150">
        <f>SUM(BK59:BK62)</f>
        <v>0</v>
      </c>
      <c r="BL57" s="151">
        <f>SUM(BL59:BL62)</f>
        <v>0</v>
      </c>
      <c r="BM57" s="148">
        <f>SUM(BN57,BP57)</f>
        <v>0</v>
      </c>
      <c r="BN57" s="149">
        <f>SUM(BN59:BN63)</f>
        <v>0</v>
      </c>
      <c r="BO57" s="150">
        <f>SUM(BO59:BO62)</f>
        <v>0</v>
      </c>
      <c r="BP57" s="151">
        <f>SUM(BP59:BP62)</f>
        <v>0</v>
      </c>
      <c r="BQ57" s="148">
        <f>SUM(BR57,BT57)</f>
        <v>368.15200000000004</v>
      </c>
      <c r="BR57" s="149">
        <f>SUM(BR59:BR63)</f>
        <v>364.52200000000005</v>
      </c>
      <c r="BS57" s="150">
        <f>SUM(BS59:BS62)</f>
        <v>221.13499999999999</v>
      </c>
      <c r="BT57" s="151">
        <f>SUM(BT59:BT62)</f>
        <v>3.63</v>
      </c>
      <c r="BU57" s="148">
        <f>SUM(BV57,BX57)</f>
        <v>0.23399999999999999</v>
      </c>
      <c r="BV57" s="149">
        <f>SUM(BV59:BV63)</f>
        <v>0.23399999999999999</v>
      </c>
      <c r="BW57" s="150">
        <f>SUM(BW59:BW62)</f>
        <v>0</v>
      </c>
      <c r="BX57" s="151">
        <f>SUM(BX59:BX62)</f>
        <v>0</v>
      </c>
      <c r="BY57" s="175">
        <f>SUM(BZ57,CB57)</f>
        <v>0</v>
      </c>
      <c r="BZ57" s="176">
        <f>SUM(BZ59:BZ63)</f>
        <v>0</v>
      </c>
      <c r="CA57" s="177">
        <f>SUM(CA59:CA62)</f>
        <v>0</v>
      </c>
      <c r="CB57" s="178">
        <f>SUM(CB59:CB62)</f>
        <v>0</v>
      </c>
      <c r="CC57" s="175">
        <f>SUM(CD57,CF57)</f>
        <v>0</v>
      </c>
      <c r="CD57" s="176">
        <f>SUM(CD59:CD63)</f>
        <v>0</v>
      </c>
      <c r="CE57" s="177">
        <f>SUM(CE59:CE62)</f>
        <v>0</v>
      </c>
      <c r="CF57" s="178">
        <f>SUM(CF59:CF62)</f>
        <v>0</v>
      </c>
      <c r="CG57" s="148">
        <f>SUM(CH57,CJ57)</f>
        <v>368.15200000000004</v>
      </c>
      <c r="CH57" s="149">
        <f>SUM(CH59:CH63)</f>
        <v>364.52200000000005</v>
      </c>
      <c r="CI57" s="150">
        <f>SUM(CI59:CI62)</f>
        <v>221.13499999999999</v>
      </c>
      <c r="CJ57" s="151">
        <f>SUM(CJ59:CJ62)</f>
        <v>3.63</v>
      </c>
      <c r="CK57" s="148">
        <f>SUM(CL57,CN57)</f>
        <v>0.23399999999999999</v>
      </c>
      <c r="CL57" s="149">
        <f>SUM(CL59:CL63)</f>
        <v>0.23399999999999999</v>
      </c>
      <c r="CM57" s="150">
        <f>SUM(CM59:CM62)</f>
        <v>0</v>
      </c>
      <c r="CN57" s="151">
        <f>SUM(CN59:CN62)</f>
        <v>0</v>
      </c>
      <c r="CO57" s="175">
        <f>SUM(CP57,CR57)</f>
        <v>0</v>
      </c>
      <c r="CP57" s="176">
        <f>SUM(CP59:CP63)</f>
        <v>0</v>
      </c>
      <c r="CQ57" s="177">
        <f>SUM(CQ59:CQ62)</f>
        <v>0</v>
      </c>
      <c r="CR57" s="178">
        <f>SUM(CR59:CR62)</f>
        <v>0</v>
      </c>
      <c r="CS57" s="175">
        <f>SUM(CT57,CV57)</f>
        <v>0</v>
      </c>
      <c r="CT57" s="176">
        <f>SUM(CT59:CT63)</f>
        <v>0</v>
      </c>
      <c r="CU57" s="177">
        <f>SUM(CU59:CU62)</f>
        <v>0</v>
      </c>
      <c r="CV57" s="178">
        <f>SUM(CV59:CV62)</f>
        <v>0</v>
      </c>
      <c r="CW57" s="148">
        <f>SUM(CX57,CZ57)</f>
        <v>368.15200000000004</v>
      </c>
      <c r="CX57" s="149">
        <f>SUM(CX59:CX63)</f>
        <v>364.52200000000005</v>
      </c>
      <c r="CY57" s="150">
        <f>SUM(CY59:CY62)</f>
        <v>221.13499999999999</v>
      </c>
      <c r="CZ57" s="151">
        <f>SUM(CZ59:CZ62)</f>
        <v>3.63</v>
      </c>
      <c r="DA57" s="148">
        <f>SUM(DB57,DD57)</f>
        <v>0.23399999999999999</v>
      </c>
      <c r="DB57" s="149">
        <f>SUM(DB59:DB63)</f>
        <v>0.23399999999999999</v>
      </c>
      <c r="DC57" s="150">
        <f>SUM(DC59:DC62)</f>
        <v>0</v>
      </c>
      <c r="DD57" s="151">
        <f>SUM(DD59:DD62)</f>
        <v>0</v>
      </c>
      <c r="DE57" s="175">
        <f>SUM(DF57,DH57)</f>
        <v>0</v>
      </c>
      <c r="DF57" s="176">
        <f>SUM(DF59:DF63)</f>
        <v>0</v>
      </c>
      <c r="DG57" s="177">
        <f>SUM(DG59:DG62)</f>
        <v>0</v>
      </c>
      <c r="DH57" s="178">
        <f>SUM(DH59:DH62)</f>
        <v>0</v>
      </c>
      <c r="DI57" s="175">
        <f>SUM(DJ57,DL57)</f>
        <v>0</v>
      </c>
      <c r="DJ57" s="176">
        <f>SUM(DJ59:DJ63)</f>
        <v>0</v>
      </c>
      <c r="DK57" s="177">
        <f>SUM(DK59:DK62)</f>
        <v>0</v>
      </c>
      <c r="DL57" s="178">
        <f>SUM(DL59:DL62)</f>
        <v>0</v>
      </c>
      <c r="DM57" s="148">
        <f>SUM(DN57,DP57)</f>
        <v>368.15200000000004</v>
      </c>
      <c r="DN57" s="149">
        <f>SUM(DN59:DN63)</f>
        <v>364.52200000000005</v>
      </c>
      <c r="DO57" s="150">
        <f>SUM(DO59:DO62)</f>
        <v>221.13499999999999</v>
      </c>
      <c r="DP57" s="151">
        <f>SUM(DP59:DP62)</f>
        <v>3.63</v>
      </c>
      <c r="DQ57" s="148">
        <f>SUM(DR57,DT57)</f>
        <v>0.23399999999999999</v>
      </c>
      <c r="DR57" s="149">
        <f>SUM(DR59:DR63)</f>
        <v>0.23399999999999999</v>
      </c>
      <c r="DS57" s="150">
        <f>SUM(DS59:DS62)</f>
        <v>0</v>
      </c>
      <c r="DT57" s="151">
        <f>SUM(DT59:DT62)</f>
        <v>0</v>
      </c>
      <c r="DU57" s="175">
        <f>SUM(DV57,DX57)</f>
        <v>0.67500000000000004</v>
      </c>
      <c r="DV57" s="176">
        <f>SUM(DV59:DV63)</f>
        <v>0.67500000000000004</v>
      </c>
      <c r="DW57" s="177">
        <f>SUM(DW59:DW62)</f>
        <v>0.17299999999999999</v>
      </c>
      <c r="DX57" s="178">
        <f>SUM(DX59:DX62)</f>
        <v>0</v>
      </c>
      <c r="DY57" s="175">
        <f>SUM(DZ57,EB57)</f>
        <v>0</v>
      </c>
      <c r="DZ57" s="176">
        <f>SUM(DZ59:DZ63)</f>
        <v>0</v>
      </c>
      <c r="EA57" s="177">
        <f>SUM(EA59:EA62)</f>
        <v>0</v>
      </c>
      <c r="EB57" s="178">
        <f>SUM(EB59:EB62)</f>
        <v>0</v>
      </c>
      <c r="EC57" s="148">
        <f>SUM(ED57,EF57)</f>
        <v>368.827</v>
      </c>
      <c r="ED57" s="149">
        <f>SUM(ED59:ED63)</f>
        <v>365.197</v>
      </c>
      <c r="EE57" s="150">
        <f>SUM(EE59:EE62)</f>
        <v>221.30799999999999</v>
      </c>
      <c r="EF57" s="151">
        <f>SUM(EF59:EF62)</f>
        <v>3.63</v>
      </c>
      <c r="EG57" s="148">
        <f>SUM(EH57,EJ57)</f>
        <v>0.23399999999999999</v>
      </c>
      <c r="EH57" s="149">
        <f>SUM(EH59:EH63)</f>
        <v>0.23399999999999999</v>
      </c>
      <c r="EI57" s="150">
        <f>SUM(EI59:EI62)</f>
        <v>0</v>
      </c>
      <c r="EJ57" s="151">
        <f>SUM(EJ59:EJ62)</f>
        <v>0</v>
      </c>
      <c r="EK57" s="155">
        <f t="shared" si="0"/>
        <v>98.701999999999998</v>
      </c>
      <c r="EL57" s="155">
        <f t="shared" si="1"/>
        <v>78.629000000000019</v>
      </c>
      <c r="EM57" s="148">
        <f>SUM(EN57,EP57)</f>
        <v>447.45600000000002</v>
      </c>
      <c r="EN57" s="149">
        <f>SUM(EN59:EN63)</f>
        <v>391.05600000000004</v>
      </c>
      <c r="EO57" s="150">
        <f>SUM(EO59:EO62)</f>
        <v>255.51999999999998</v>
      </c>
      <c r="EP57" s="151">
        <f>SUM(EP59:EP62)</f>
        <v>56.4</v>
      </c>
      <c r="EQ57" s="148">
        <f>SUM(ER57,ET57)</f>
        <v>100.876</v>
      </c>
      <c r="ER57" s="149">
        <f>SUM(ER59:ER63)</f>
        <v>50.875999999999998</v>
      </c>
      <c r="ES57" s="150">
        <f>SUM(ES59:ES62)</f>
        <v>35.270000000000003</v>
      </c>
      <c r="ET57" s="151">
        <f>SUM(ET59:ET62)</f>
        <v>50</v>
      </c>
    </row>
    <row r="58" spans="1:150" ht="17.399999999999999" customHeight="1" x14ac:dyDescent="0.3">
      <c r="A58" s="46"/>
      <c r="B58" s="6" t="s">
        <v>2</v>
      </c>
      <c r="C58" s="51"/>
      <c r="D58" s="94"/>
      <c r="E58" s="105"/>
      <c r="F58" s="106"/>
      <c r="G58" s="107"/>
      <c r="H58" s="108"/>
      <c r="I58" s="105"/>
      <c r="J58" s="106"/>
      <c r="K58" s="107"/>
      <c r="L58" s="108"/>
      <c r="M58" s="105"/>
      <c r="N58" s="106"/>
      <c r="O58" s="107"/>
      <c r="P58" s="108"/>
      <c r="Q58" s="105"/>
      <c r="R58" s="106"/>
      <c r="S58" s="107"/>
      <c r="T58" s="108"/>
      <c r="U58" s="105"/>
      <c r="V58" s="106"/>
      <c r="W58" s="107"/>
      <c r="X58" s="108"/>
      <c r="Y58" s="105"/>
      <c r="Z58" s="106"/>
      <c r="AA58" s="107"/>
      <c r="AB58" s="108"/>
      <c r="AC58" s="105"/>
      <c r="AD58" s="106"/>
      <c r="AE58" s="107"/>
      <c r="AF58" s="108"/>
      <c r="AG58" s="105"/>
      <c r="AH58" s="106"/>
      <c r="AI58" s="107"/>
      <c r="AJ58" s="108"/>
      <c r="AK58" s="105"/>
      <c r="AL58" s="106"/>
      <c r="AM58" s="107"/>
      <c r="AN58" s="108"/>
      <c r="AO58" s="105"/>
      <c r="AP58" s="106"/>
      <c r="AQ58" s="107"/>
      <c r="AR58" s="108"/>
      <c r="AS58" s="105"/>
      <c r="AT58" s="106"/>
      <c r="AU58" s="107"/>
      <c r="AV58" s="108"/>
      <c r="AW58" s="105"/>
      <c r="AX58" s="106"/>
      <c r="AY58" s="107"/>
      <c r="AZ58" s="108"/>
      <c r="BA58" s="105"/>
      <c r="BB58" s="106"/>
      <c r="BC58" s="107"/>
      <c r="BD58" s="108"/>
      <c r="BE58" s="105"/>
      <c r="BF58" s="106"/>
      <c r="BG58" s="107"/>
      <c r="BH58" s="108"/>
      <c r="BI58" s="105"/>
      <c r="BJ58" s="106"/>
      <c r="BK58" s="107"/>
      <c r="BL58" s="108"/>
      <c r="BM58" s="105"/>
      <c r="BN58" s="106"/>
      <c r="BO58" s="107"/>
      <c r="BP58" s="108"/>
      <c r="BQ58" s="105"/>
      <c r="BR58" s="106"/>
      <c r="BS58" s="107"/>
      <c r="BT58" s="108"/>
      <c r="BU58" s="105"/>
      <c r="BV58" s="106"/>
      <c r="BW58" s="107"/>
      <c r="BX58" s="108"/>
      <c r="BY58" s="164"/>
      <c r="BZ58" s="147"/>
      <c r="CA58" s="161"/>
      <c r="CB58" s="162"/>
      <c r="CC58" s="164"/>
      <c r="CD58" s="147"/>
      <c r="CE58" s="161"/>
      <c r="CF58" s="162"/>
      <c r="CG58" s="105"/>
      <c r="CH58" s="106"/>
      <c r="CI58" s="107"/>
      <c r="CJ58" s="108"/>
      <c r="CK58" s="105"/>
      <c r="CL58" s="106"/>
      <c r="CM58" s="107"/>
      <c r="CN58" s="108"/>
      <c r="CO58" s="164"/>
      <c r="CP58" s="147"/>
      <c r="CQ58" s="161"/>
      <c r="CR58" s="162"/>
      <c r="CS58" s="164"/>
      <c r="CT58" s="147"/>
      <c r="CU58" s="161"/>
      <c r="CV58" s="162"/>
      <c r="CW58" s="105"/>
      <c r="CX58" s="106"/>
      <c r="CY58" s="107"/>
      <c r="CZ58" s="108"/>
      <c r="DA58" s="105"/>
      <c r="DB58" s="106"/>
      <c r="DC58" s="107"/>
      <c r="DD58" s="108"/>
      <c r="DE58" s="164"/>
      <c r="DF58" s="147"/>
      <c r="DG58" s="161"/>
      <c r="DH58" s="162"/>
      <c r="DI58" s="164"/>
      <c r="DJ58" s="147"/>
      <c r="DK58" s="161"/>
      <c r="DL58" s="162"/>
      <c r="DM58" s="105"/>
      <c r="DN58" s="106"/>
      <c r="DO58" s="107"/>
      <c r="DP58" s="108"/>
      <c r="DQ58" s="105"/>
      <c r="DR58" s="106"/>
      <c r="DS58" s="107"/>
      <c r="DT58" s="108"/>
      <c r="DU58" s="164"/>
      <c r="DV58" s="147"/>
      <c r="DW58" s="161"/>
      <c r="DX58" s="162"/>
      <c r="DY58" s="164"/>
      <c r="DZ58" s="147"/>
      <c r="EA58" s="161"/>
      <c r="EB58" s="162"/>
      <c r="EC58" s="105"/>
      <c r="ED58" s="106"/>
      <c r="EE58" s="107"/>
      <c r="EF58" s="108"/>
      <c r="EG58" s="105"/>
      <c r="EH58" s="106"/>
      <c r="EI58" s="107"/>
      <c r="EJ58" s="108"/>
      <c r="EK58" s="153">
        <f t="shared" si="0"/>
        <v>0</v>
      </c>
      <c r="EL58" s="153">
        <f t="shared" si="1"/>
        <v>0</v>
      </c>
      <c r="EM58" s="105"/>
      <c r="EN58" s="106"/>
      <c r="EO58" s="107"/>
      <c r="EP58" s="108"/>
      <c r="EQ58" s="105"/>
      <c r="ER58" s="106"/>
      <c r="ES58" s="107"/>
      <c r="ET58" s="108"/>
    </row>
    <row r="59" spans="1:150" ht="22.5" customHeight="1" x14ac:dyDescent="0.3">
      <c r="A59" s="36" t="s">
        <v>23</v>
      </c>
      <c r="B59" s="37" t="s">
        <v>35</v>
      </c>
      <c r="C59" s="48" t="s">
        <v>56</v>
      </c>
      <c r="D59" s="139" t="s">
        <v>52</v>
      </c>
      <c r="E59" s="105">
        <f t="shared" ref="E59:E64" si="372">SUM(F59,H59)</f>
        <v>0.68899999999999995</v>
      </c>
      <c r="F59" s="106">
        <f>0.6+J59</f>
        <v>0.68899999999999995</v>
      </c>
      <c r="G59" s="107"/>
      <c r="H59" s="108"/>
      <c r="I59" s="105">
        <f t="shared" ref="I59:I64" si="373">SUM(J59,L59)</f>
        <v>8.8999999999999996E-2</v>
      </c>
      <c r="J59" s="106">
        <v>8.8999999999999996E-2</v>
      </c>
      <c r="K59" s="107"/>
      <c r="L59" s="108"/>
      <c r="M59" s="105">
        <f t="shared" ref="M59:M62" si="374">SUM(N59,P59)</f>
        <v>0</v>
      </c>
      <c r="N59" s="106"/>
      <c r="O59" s="107"/>
      <c r="P59" s="108"/>
      <c r="Q59" s="105">
        <f t="shared" ref="Q59:Q62" si="375">SUM(R59,T59)</f>
        <v>0</v>
      </c>
      <c r="R59" s="106"/>
      <c r="S59" s="107"/>
      <c r="T59" s="108"/>
      <c r="U59" s="105">
        <f t="shared" ref="U59" si="376">SUM(V59,X59)</f>
        <v>0.68899999999999995</v>
      </c>
      <c r="V59" s="106">
        <f t="shared" ref="V59" si="377">F59+N59</f>
        <v>0.68899999999999995</v>
      </c>
      <c r="W59" s="107">
        <f t="shared" ref="W59" si="378">G59+O59</f>
        <v>0</v>
      </c>
      <c r="X59" s="108">
        <f t="shared" ref="X59" si="379">H59+P59</f>
        <v>0</v>
      </c>
      <c r="Y59" s="105">
        <f t="shared" ref="Y59" si="380">SUM(Z59,AB59)</f>
        <v>8.8999999999999996E-2</v>
      </c>
      <c r="Z59" s="106">
        <f t="shared" ref="Z59" si="381">J59+R59</f>
        <v>8.8999999999999996E-2</v>
      </c>
      <c r="AA59" s="107">
        <f t="shared" ref="AA59" si="382">K59+S59</f>
        <v>0</v>
      </c>
      <c r="AB59" s="108">
        <f t="shared" ref="AB59" si="383">L59+T59</f>
        <v>0</v>
      </c>
      <c r="AC59" s="105">
        <f t="shared" ref="AC59:AC63" si="384">SUM(AD59,AF59)</f>
        <v>0</v>
      </c>
      <c r="AD59" s="106"/>
      <c r="AE59" s="107"/>
      <c r="AF59" s="108"/>
      <c r="AG59" s="105">
        <f t="shared" ref="AG59:AG62" si="385">SUM(AH59,AJ59)</f>
        <v>0</v>
      </c>
      <c r="AH59" s="106"/>
      <c r="AI59" s="107"/>
      <c r="AJ59" s="108"/>
      <c r="AK59" s="105">
        <f t="shared" ref="AK59:AK64" si="386">SUM(AL59,AN59)</f>
        <v>0.68899999999999995</v>
      </c>
      <c r="AL59" s="106">
        <f t="shared" ref="AL59:AL63" si="387">V59+AD59</f>
        <v>0.68899999999999995</v>
      </c>
      <c r="AM59" s="107">
        <f t="shared" ref="AM59:AM63" si="388">W59+AE59</f>
        <v>0</v>
      </c>
      <c r="AN59" s="108">
        <f t="shared" ref="AN59:AN63" si="389">X59+AF59</f>
        <v>0</v>
      </c>
      <c r="AO59" s="105">
        <f t="shared" ref="AO59:AO64" si="390">SUM(AP59,AR59)</f>
        <v>8.8999999999999996E-2</v>
      </c>
      <c r="AP59" s="106">
        <f t="shared" ref="AP59:AP63" si="391">Z59+AH59</f>
        <v>8.8999999999999996E-2</v>
      </c>
      <c r="AQ59" s="107">
        <f t="shared" ref="AQ59:AQ63" si="392">AA59+AI59</f>
        <v>0</v>
      </c>
      <c r="AR59" s="108">
        <f t="shared" ref="AR59:AR63" si="393">AB59+AJ59</f>
        <v>0</v>
      </c>
      <c r="AS59" s="105">
        <f t="shared" ref="AS59:AS64" si="394">SUM(AT59,AV59)</f>
        <v>0</v>
      </c>
      <c r="AT59" s="106"/>
      <c r="AU59" s="107"/>
      <c r="AV59" s="108"/>
      <c r="AW59" s="105">
        <f t="shared" ref="AW59:AW62" si="395">SUM(AX59,AZ59)</f>
        <v>0</v>
      </c>
      <c r="AX59" s="106"/>
      <c r="AY59" s="107"/>
      <c r="AZ59" s="108"/>
      <c r="BA59" s="105">
        <f t="shared" ref="BA59:BA64" si="396">SUM(BB59,BD59)</f>
        <v>0.68899999999999995</v>
      </c>
      <c r="BB59" s="106">
        <f t="shared" ref="BB59:BB63" si="397">AL59+AT59</f>
        <v>0.68899999999999995</v>
      </c>
      <c r="BC59" s="107">
        <f t="shared" ref="BC59:BC63" si="398">AM59+AU59</f>
        <v>0</v>
      </c>
      <c r="BD59" s="108">
        <f t="shared" ref="BD59:BD63" si="399">AN59+AV59</f>
        <v>0</v>
      </c>
      <c r="BE59" s="105">
        <f t="shared" ref="BE59:BE64" si="400">SUM(BF59,BH59)</f>
        <v>8.8999999999999996E-2</v>
      </c>
      <c r="BF59" s="106">
        <f t="shared" ref="BF59:BF63" si="401">AP59+AX59</f>
        <v>8.8999999999999996E-2</v>
      </c>
      <c r="BG59" s="107">
        <f t="shared" ref="BG59:BG63" si="402">AQ59+AY59</f>
        <v>0</v>
      </c>
      <c r="BH59" s="108">
        <f t="shared" ref="BH59:BH63" si="403">AR59+AZ59</f>
        <v>0</v>
      </c>
      <c r="BI59" s="105">
        <f t="shared" ref="BI59:BI64" si="404">SUM(BJ59,BL59)</f>
        <v>0</v>
      </c>
      <c r="BJ59" s="106"/>
      <c r="BK59" s="107"/>
      <c r="BL59" s="108"/>
      <c r="BM59" s="105">
        <f t="shared" ref="BM59:BM62" si="405">SUM(BN59,BP59)</f>
        <v>0</v>
      </c>
      <c r="BN59" s="106"/>
      <c r="BO59" s="107"/>
      <c r="BP59" s="108"/>
      <c r="BQ59" s="105">
        <f t="shared" ref="BQ59:BQ64" si="406">SUM(BR59,BT59)</f>
        <v>0.68899999999999995</v>
      </c>
      <c r="BR59" s="106">
        <f t="shared" ref="BR59:BR63" si="407">BB59+BJ59</f>
        <v>0.68899999999999995</v>
      </c>
      <c r="BS59" s="107">
        <f t="shared" ref="BS59:BS63" si="408">BC59+BK59</f>
        <v>0</v>
      </c>
      <c r="BT59" s="108">
        <f t="shared" ref="BT59:BT63" si="409">BD59+BL59</f>
        <v>0</v>
      </c>
      <c r="BU59" s="105">
        <f t="shared" ref="BU59:BU64" si="410">SUM(BV59,BX59)</f>
        <v>8.8999999999999996E-2</v>
      </c>
      <c r="BV59" s="106">
        <f t="shared" ref="BV59:BV63" si="411">BF59+BN59</f>
        <v>8.8999999999999996E-2</v>
      </c>
      <c r="BW59" s="107">
        <f t="shared" ref="BW59:BW63" si="412">BG59+BO59</f>
        <v>0</v>
      </c>
      <c r="BX59" s="108">
        <f t="shared" ref="BX59:BX63" si="413">BH59+BP59</f>
        <v>0</v>
      </c>
      <c r="BY59" s="164">
        <f t="shared" ref="BY59:BY64" si="414">SUM(BZ59,CB59)</f>
        <v>0</v>
      </c>
      <c r="BZ59" s="147"/>
      <c r="CA59" s="161"/>
      <c r="CB59" s="162"/>
      <c r="CC59" s="164">
        <f t="shared" ref="CC59:CC62" si="415">SUM(CD59,CF59)</f>
        <v>0</v>
      </c>
      <c r="CD59" s="147"/>
      <c r="CE59" s="161"/>
      <c r="CF59" s="162"/>
      <c r="CG59" s="105">
        <f t="shared" ref="CG59:CG64" si="416">SUM(CH59,CJ59)</f>
        <v>0.68899999999999995</v>
      </c>
      <c r="CH59" s="106">
        <f t="shared" ref="CH59:CH63" si="417">BR59+BZ59</f>
        <v>0.68899999999999995</v>
      </c>
      <c r="CI59" s="107">
        <f t="shared" ref="CI59:CI63" si="418">BS59+CA59</f>
        <v>0</v>
      </c>
      <c r="CJ59" s="108">
        <f t="shared" ref="CJ59:CJ63" si="419">BT59+CB59</f>
        <v>0</v>
      </c>
      <c r="CK59" s="105">
        <f t="shared" ref="CK59:CK64" si="420">SUM(CL59,CN59)</f>
        <v>8.8999999999999996E-2</v>
      </c>
      <c r="CL59" s="106">
        <f t="shared" ref="CL59:CL63" si="421">BV59+CD59</f>
        <v>8.8999999999999996E-2</v>
      </c>
      <c r="CM59" s="107">
        <f t="shared" ref="CM59:CM63" si="422">BW59+CE59</f>
        <v>0</v>
      </c>
      <c r="CN59" s="108">
        <f t="shared" ref="CN59:CN63" si="423">BX59+CF59</f>
        <v>0</v>
      </c>
      <c r="CO59" s="164">
        <f t="shared" ref="CO59:CO64" si="424">SUM(CP59,CR59)</f>
        <v>0</v>
      </c>
      <c r="CP59" s="147"/>
      <c r="CQ59" s="161"/>
      <c r="CR59" s="162"/>
      <c r="CS59" s="164">
        <f t="shared" ref="CS59:CS62" si="425">SUM(CT59,CV59)</f>
        <v>0</v>
      </c>
      <c r="CT59" s="147"/>
      <c r="CU59" s="161"/>
      <c r="CV59" s="162"/>
      <c r="CW59" s="105">
        <f t="shared" ref="CW59:CW64" si="426">SUM(CX59,CZ59)</f>
        <v>0.68899999999999995</v>
      </c>
      <c r="CX59" s="106">
        <f t="shared" ref="CX59:CX63" si="427">CH59+CP59</f>
        <v>0.68899999999999995</v>
      </c>
      <c r="CY59" s="107">
        <f t="shared" ref="CY59:CY63" si="428">CI59+CQ59</f>
        <v>0</v>
      </c>
      <c r="CZ59" s="108">
        <f t="shared" ref="CZ59:CZ63" si="429">CJ59+CR59</f>
        <v>0</v>
      </c>
      <c r="DA59" s="105">
        <f t="shared" ref="DA59:DA64" si="430">SUM(DB59,DD59)</f>
        <v>8.8999999999999996E-2</v>
      </c>
      <c r="DB59" s="106">
        <f t="shared" ref="DB59:DB63" si="431">CL59+CT59</f>
        <v>8.8999999999999996E-2</v>
      </c>
      <c r="DC59" s="107">
        <f t="shared" ref="DC59:DC63" si="432">CM59+CU59</f>
        <v>0</v>
      </c>
      <c r="DD59" s="108">
        <f t="shared" ref="DD59:DD63" si="433">CN59+CV59</f>
        <v>0</v>
      </c>
      <c r="DE59" s="164">
        <f t="shared" ref="DE59:DE64" si="434">SUM(DF59,DH59)</f>
        <v>0</v>
      </c>
      <c r="DF59" s="147"/>
      <c r="DG59" s="161"/>
      <c r="DH59" s="162"/>
      <c r="DI59" s="164">
        <f t="shared" ref="DI59:DI62" si="435">SUM(DJ59,DL59)</f>
        <v>0</v>
      </c>
      <c r="DJ59" s="147"/>
      <c r="DK59" s="161"/>
      <c r="DL59" s="162"/>
      <c r="DM59" s="105">
        <f t="shared" ref="DM59:DM64" si="436">SUM(DN59,DP59)</f>
        <v>0.68899999999999995</v>
      </c>
      <c r="DN59" s="106">
        <f t="shared" ref="DN59:DN63" si="437">CX59+DF59</f>
        <v>0.68899999999999995</v>
      </c>
      <c r="DO59" s="107">
        <f t="shared" ref="DO59:DO63" si="438">CY59+DG59</f>
        <v>0</v>
      </c>
      <c r="DP59" s="108">
        <f t="shared" ref="DP59:DP63" si="439">CZ59+DH59</f>
        <v>0</v>
      </c>
      <c r="DQ59" s="105">
        <f t="shared" ref="DQ59:DQ64" si="440">SUM(DR59,DT59)</f>
        <v>8.8999999999999996E-2</v>
      </c>
      <c r="DR59" s="106">
        <f t="shared" ref="DR59:DR63" si="441">DB59+DJ59</f>
        <v>8.8999999999999996E-2</v>
      </c>
      <c r="DS59" s="107">
        <f t="shared" ref="DS59:DS63" si="442">DC59+DK59</f>
        <v>0</v>
      </c>
      <c r="DT59" s="108">
        <f t="shared" ref="DT59:DT63" si="443">DD59+DL59</f>
        <v>0</v>
      </c>
      <c r="DU59" s="164">
        <f t="shared" ref="DU59:DU64" si="444">SUM(DV59,DX59)</f>
        <v>0.5</v>
      </c>
      <c r="DV59" s="147">
        <v>0.5</v>
      </c>
      <c r="DW59" s="161"/>
      <c r="DX59" s="162"/>
      <c r="DY59" s="164">
        <f t="shared" ref="DY59:DY62" si="445">SUM(DZ59,EB59)</f>
        <v>0</v>
      </c>
      <c r="DZ59" s="147"/>
      <c r="EA59" s="161"/>
      <c r="EB59" s="162"/>
      <c r="EC59" s="105">
        <f t="shared" ref="EC59:EC64" si="446">SUM(ED59,EF59)</f>
        <v>1.1890000000000001</v>
      </c>
      <c r="ED59" s="106">
        <f t="shared" ref="ED59:ED63" si="447">DN59+DV59</f>
        <v>1.1890000000000001</v>
      </c>
      <c r="EE59" s="107">
        <f t="shared" ref="EE59:EE63" si="448">DO59+DW59</f>
        <v>0</v>
      </c>
      <c r="EF59" s="108">
        <f t="shared" ref="EF59:EF63" si="449">DP59+DX59</f>
        <v>0</v>
      </c>
      <c r="EG59" s="105">
        <f t="shared" ref="EG59:EG64" si="450">SUM(EH59,EJ59)</f>
        <v>8.8999999999999996E-2</v>
      </c>
      <c r="EH59" s="106">
        <f t="shared" ref="EH59:EH63" si="451">DR59+DZ59</f>
        <v>8.8999999999999996E-2</v>
      </c>
      <c r="EI59" s="107">
        <f t="shared" ref="EI59:EI63" si="452">DS59+EA59</f>
        <v>0</v>
      </c>
      <c r="EJ59" s="108">
        <f t="shared" ref="EJ59:EJ63" si="453">DT59+EB59</f>
        <v>0</v>
      </c>
      <c r="EK59" s="163">
        <f t="shared" si="0"/>
        <v>0.95200000000000007</v>
      </c>
      <c r="EL59" s="163">
        <f t="shared" si="1"/>
        <v>0.45199999999999996</v>
      </c>
      <c r="EM59" s="105">
        <f t="shared" ref="EM59:EM64" si="454">SUM(EN59,EP59)</f>
        <v>1.641</v>
      </c>
      <c r="EN59" s="106">
        <f>ER59+1</f>
        <v>1.641</v>
      </c>
      <c r="EO59" s="107"/>
      <c r="EP59" s="108"/>
      <c r="EQ59" s="105">
        <f t="shared" ref="EQ59:EQ64" si="455">SUM(ER59,ET59)</f>
        <v>0.64100000000000001</v>
      </c>
      <c r="ER59" s="106">
        <v>0.64100000000000001</v>
      </c>
      <c r="ES59" s="107"/>
      <c r="ET59" s="108"/>
    </row>
    <row r="60" spans="1:150" s="4" customFormat="1" ht="21.65" customHeight="1" x14ac:dyDescent="0.25">
      <c r="A60" s="704" t="s">
        <v>26</v>
      </c>
      <c r="B60" s="702" t="s">
        <v>42</v>
      </c>
      <c r="C60" s="48" t="s">
        <v>57</v>
      </c>
      <c r="D60" s="93" t="s">
        <v>37</v>
      </c>
      <c r="E60" s="105">
        <f t="shared" si="372"/>
        <v>291.69</v>
      </c>
      <c r="F60" s="106">
        <f>259.81+28.25</f>
        <v>288.06</v>
      </c>
      <c r="G60" s="107">
        <f>188.3+27.85-0.55</f>
        <v>215.6</v>
      </c>
      <c r="H60" s="108">
        <f>0.6+3.03</f>
        <v>3.63</v>
      </c>
      <c r="I60" s="105">
        <f t="shared" si="373"/>
        <v>0</v>
      </c>
      <c r="J60" s="106"/>
      <c r="K60" s="107"/>
      <c r="L60" s="108"/>
      <c r="M60" s="105">
        <f t="shared" si="374"/>
        <v>0</v>
      </c>
      <c r="N60" s="106"/>
      <c r="O60" s="107"/>
      <c r="P60" s="108"/>
      <c r="Q60" s="105">
        <f t="shared" si="375"/>
        <v>0</v>
      </c>
      <c r="R60" s="106"/>
      <c r="S60" s="107"/>
      <c r="T60" s="108"/>
      <c r="U60" s="105">
        <f t="shared" ref="U60:U63" si="456">SUM(V60,X60)</f>
        <v>291.69</v>
      </c>
      <c r="V60" s="106">
        <f t="shared" ref="V60:V63" si="457">F60+N60</f>
        <v>288.06</v>
      </c>
      <c r="W60" s="107">
        <f t="shared" ref="W60:W63" si="458">G60+O60</f>
        <v>215.6</v>
      </c>
      <c r="X60" s="108">
        <f t="shared" ref="X60:X63" si="459">H60+P60</f>
        <v>3.63</v>
      </c>
      <c r="Y60" s="105">
        <f t="shared" ref="Y60:Y63" si="460">SUM(Z60,AB60)</f>
        <v>0</v>
      </c>
      <c r="Z60" s="106">
        <f t="shared" ref="Z60:Z63" si="461">J60+R60</f>
        <v>0</v>
      </c>
      <c r="AA60" s="107">
        <f t="shared" ref="AA60:AA63" si="462">K60+S60</f>
        <v>0</v>
      </c>
      <c r="AB60" s="108">
        <f t="shared" ref="AB60:AB63" si="463">L60+T60</f>
        <v>0</v>
      </c>
      <c r="AC60" s="105">
        <f t="shared" si="384"/>
        <v>2.2349999999999999</v>
      </c>
      <c r="AD60" s="106">
        <v>2.2349999999999999</v>
      </c>
      <c r="AE60" s="107"/>
      <c r="AF60" s="108"/>
      <c r="AG60" s="105">
        <f t="shared" si="385"/>
        <v>0</v>
      </c>
      <c r="AH60" s="106"/>
      <c r="AI60" s="107"/>
      <c r="AJ60" s="108"/>
      <c r="AK60" s="105">
        <f t="shared" si="386"/>
        <v>293.92500000000001</v>
      </c>
      <c r="AL60" s="106">
        <f t="shared" si="387"/>
        <v>290.29500000000002</v>
      </c>
      <c r="AM60" s="107">
        <f t="shared" si="388"/>
        <v>215.6</v>
      </c>
      <c r="AN60" s="108">
        <f t="shared" si="389"/>
        <v>3.63</v>
      </c>
      <c r="AO60" s="105">
        <f t="shared" si="390"/>
        <v>0</v>
      </c>
      <c r="AP60" s="106">
        <f t="shared" si="391"/>
        <v>0</v>
      </c>
      <c r="AQ60" s="107">
        <f t="shared" si="392"/>
        <v>0</v>
      </c>
      <c r="AR60" s="108">
        <f t="shared" si="393"/>
        <v>0</v>
      </c>
      <c r="AS60" s="105">
        <f t="shared" si="394"/>
        <v>5.8180000000000005</v>
      </c>
      <c r="AT60" s="106">
        <f>5.615+0.203</f>
        <v>5.8180000000000005</v>
      </c>
      <c r="AU60" s="107">
        <v>5.5350000000000001</v>
      </c>
      <c r="AV60" s="108"/>
      <c r="AW60" s="105">
        <f t="shared" si="395"/>
        <v>0</v>
      </c>
      <c r="AX60" s="106"/>
      <c r="AY60" s="107"/>
      <c r="AZ60" s="108"/>
      <c r="BA60" s="105">
        <f t="shared" si="396"/>
        <v>299.74299999999999</v>
      </c>
      <c r="BB60" s="106">
        <f t="shared" si="397"/>
        <v>296.113</v>
      </c>
      <c r="BC60" s="107">
        <f t="shared" si="398"/>
        <v>221.13499999999999</v>
      </c>
      <c r="BD60" s="108">
        <f t="shared" si="399"/>
        <v>3.63</v>
      </c>
      <c r="BE60" s="105">
        <f t="shared" si="400"/>
        <v>0</v>
      </c>
      <c r="BF60" s="106">
        <f t="shared" si="401"/>
        <v>0</v>
      </c>
      <c r="BG60" s="107">
        <f t="shared" si="402"/>
        <v>0</v>
      </c>
      <c r="BH60" s="108">
        <f t="shared" si="403"/>
        <v>0</v>
      </c>
      <c r="BI60" s="105">
        <f t="shared" si="404"/>
        <v>0</v>
      </c>
      <c r="BJ60" s="106"/>
      <c r="BK60" s="107"/>
      <c r="BL60" s="108"/>
      <c r="BM60" s="105">
        <f t="shared" si="405"/>
        <v>0</v>
      </c>
      <c r="BN60" s="106"/>
      <c r="BO60" s="107"/>
      <c r="BP60" s="108"/>
      <c r="BQ60" s="105">
        <f t="shared" si="406"/>
        <v>299.74299999999999</v>
      </c>
      <c r="BR60" s="106">
        <f t="shared" si="407"/>
        <v>296.113</v>
      </c>
      <c r="BS60" s="107">
        <f t="shared" si="408"/>
        <v>221.13499999999999</v>
      </c>
      <c r="BT60" s="108">
        <f t="shared" si="409"/>
        <v>3.63</v>
      </c>
      <c r="BU60" s="105">
        <f t="shared" si="410"/>
        <v>0</v>
      </c>
      <c r="BV60" s="106">
        <f t="shared" si="411"/>
        <v>0</v>
      </c>
      <c r="BW60" s="107">
        <f t="shared" si="412"/>
        <v>0</v>
      </c>
      <c r="BX60" s="108">
        <f t="shared" si="413"/>
        <v>0</v>
      </c>
      <c r="BY60" s="164">
        <f t="shared" si="414"/>
        <v>0</v>
      </c>
      <c r="BZ60" s="147"/>
      <c r="CA60" s="161"/>
      <c r="CB60" s="162"/>
      <c r="CC60" s="164">
        <f t="shared" si="415"/>
        <v>0</v>
      </c>
      <c r="CD60" s="147"/>
      <c r="CE60" s="161"/>
      <c r="CF60" s="162"/>
      <c r="CG60" s="105">
        <f t="shared" si="416"/>
        <v>299.74299999999999</v>
      </c>
      <c r="CH60" s="106">
        <f t="shared" si="417"/>
        <v>296.113</v>
      </c>
      <c r="CI60" s="107">
        <f t="shared" si="418"/>
        <v>221.13499999999999</v>
      </c>
      <c r="CJ60" s="108">
        <f t="shared" si="419"/>
        <v>3.63</v>
      </c>
      <c r="CK60" s="105">
        <f t="shared" si="420"/>
        <v>0</v>
      </c>
      <c r="CL60" s="106">
        <f t="shared" si="421"/>
        <v>0</v>
      </c>
      <c r="CM60" s="107">
        <f t="shared" si="422"/>
        <v>0</v>
      </c>
      <c r="CN60" s="108">
        <f t="shared" si="423"/>
        <v>0</v>
      </c>
      <c r="CO60" s="164">
        <f t="shared" si="424"/>
        <v>0</v>
      </c>
      <c r="CP60" s="147"/>
      <c r="CQ60" s="161"/>
      <c r="CR60" s="162"/>
      <c r="CS60" s="164">
        <f t="shared" si="425"/>
        <v>0</v>
      </c>
      <c r="CT60" s="147"/>
      <c r="CU60" s="161"/>
      <c r="CV60" s="162"/>
      <c r="CW60" s="105">
        <f t="shared" si="426"/>
        <v>299.74299999999999</v>
      </c>
      <c r="CX60" s="106">
        <f t="shared" si="427"/>
        <v>296.113</v>
      </c>
      <c r="CY60" s="107">
        <f t="shared" si="428"/>
        <v>221.13499999999999</v>
      </c>
      <c r="CZ60" s="108">
        <f t="shared" si="429"/>
        <v>3.63</v>
      </c>
      <c r="DA60" s="105">
        <f t="shared" si="430"/>
        <v>0</v>
      </c>
      <c r="DB60" s="106">
        <f t="shared" si="431"/>
        <v>0</v>
      </c>
      <c r="DC60" s="107">
        <f t="shared" si="432"/>
        <v>0</v>
      </c>
      <c r="DD60" s="108">
        <f t="shared" si="433"/>
        <v>0</v>
      </c>
      <c r="DE60" s="164">
        <f t="shared" si="434"/>
        <v>0</v>
      </c>
      <c r="DF60" s="147"/>
      <c r="DG60" s="161"/>
      <c r="DH60" s="162"/>
      <c r="DI60" s="164">
        <f t="shared" si="435"/>
        <v>0</v>
      </c>
      <c r="DJ60" s="147"/>
      <c r="DK60" s="161"/>
      <c r="DL60" s="162"/>
      <c r="DM60" s="105">
        <f t="shared" si="436"/>
        <v>299.74299999999999</v>
      </c>
      <c r="DN60" s="106">
        <f t="shared" si="437"/>
        <v>296.113</v>
      </c>
      <c r="DO60" s="107">
        <f t="shared" si="438"/>
        <v>221.13499999999999</v>
      </c>
      <c r="DP60" s="108">
        <f t="shared" si="439"/>
        <v>3.63</v>
      </c>
      <c r="DQ60" s="105">
        <f t="shared" si="440"/>
        <v>0</v>
      </c>
      <c r="DR60" s="106">
        <f t="shared" si="441"/>
        <v>0</v>
      </c>
      <c r="DS60" s="107">
        <f t="shared" si="442"/>
        <v>0</v>
      </c>
      <c r="DT60" s="108">
        <f t="shared" si="443"/>
        <v>0</v>
      </c>
      <c r="DU60" s="164">
        <f t="shared" si="444"/>
        <v>0.17499999999999999</v>
      </c>
      <c r="DV60" s="147">
        <v>0.17499999999999999</v>
      </c>
      <c r="DW60" s="161">
        <v>0.17299999999999999</v>
      </c>
      <c r="DX60" s="162"/>
      <c r="DY60" s="164">
        <f t="shared" si="445"/>
        <v>0</v>
      </c>
      <c r="DZ60" s="147"/>
      <c r="EA60" s="161"/>
      <c r="EB60" s="162"/>
      <c r="EC60" s="105">
        <f t="shared" si="446"/>
        <v>299.91800000000001</v>
      </c>
      <c r="ED60" s="106">
        <f t="shared" si="447"/>
        <v>296.28800000000001</v>
      </c>
      <c r="EE60" s="107">
        <f t="shared" si="448"/>
        <v>221.30799999999999</v>
      </c>
      <c r="EF60" s="108">
        <f t="shared" si="449"/>
        <v>3.63</v>
      </c>
      <c r="EG60" s="105">
        <f t="shared" si="450"/>
        <v>0</v>
      </c>
      <c r="EH60" s="106">
        <f t="shared" si="451"/>
        <v>0</v>
      </c>
      <c r="EI60" s="107">
        <f t="shared" si="452"/>
        <v>0</v>
      </c>
      <c r="EJ60" s="108">
        <f t="shared" si="453"/>
        <v>0</v>
      </c>
      <c r="EK60" s="163">
        <f t="shared" si="0"/>
        <v>104.78500000000003</v>
      </c>
      <c r="EL60" s="163">
        <f t="shared" si="1"/>
        <v>96.557000000000016</v>
      </c>
      <c r="EM60" s="105">
        <f t="shared" si="454"/>
        <v>396.47500000000002</v>
      </c>
      <c r="EN60" s="106">
        <f>ER60+289.95+1.22</f>
        <v>340.07500000000005</v>
      </c>
      <c r="EO60" s="107">
        <f>ES60+220.8-0.55</f>
        <v>255.51999999999998</v>
      </c>
      <c r="EP60" s="108">
        <f>ET60+6.4</f>
        <v>56.4</v>
      </c>
      <c r="EQ60" s="105">
        <f t="shared" si="455"/>
        <v>98.905000000000001</v>
      </c>
      <c r="ER60" s="106">
        <f>35.78+13.125</f>
        <v>48.905000000000001</v>
      </c>
      <c r="ES60" s="107">
        <v>35.270000000000003</v>
      </c>
      <c r="ET60" s="108">
        <v>50</v>
      </c>
    </row>
    <row r="61" spans="1:150" s="4" customFormat="1" ht="21.65" customHeight="1" x14ac:dyDescent="0.25">
      <c r="A61" s="705"/>
      <c r="B61" s="719"/>
      <c r="C61" s="48" t="s">
        <v>58</v>
      </c>
      <c r="D61" s="139" t="s">
        <v>52</v>
      </c>
      <c r="E61" s="105">
        <f t="shared" si="372"/>
        <v>55.245000000000005</v>
      </c>
      <c r="F61" s="106">
        <f>55.1+J61</f>
        <v>55.245000000000005</v>
      </c>
      <c r="G61" s="107"/>
      <c r="H61" s="108"/>
      <c r="I61" s="105">
        <f t="shared" si="373"/>
        <v>0.14499999999999999</v>
      </c>
      <c r="J61" s="106">
        <v>0.14499999999999999</v>
      </c>
      <c r="K61" s="107"/>
      <c r="L61" s="108"/>
      <c r="M61" s="105">
        <f t="shared" si="374"/>
        <v>0</v>
      </c>
      <c r="N61" s="106"/>
      <c r="O61" s="107"/>
      <c r="P61" s="108"/>
      <c r="Q61" s="105">
        <f t="shared" si="375"/>
        <v>0</v>
      </c>
      <c r="R61" s="106"/>
      <c r="S61" s="107"/>
      <c r="T61" s="108"/>
      <c r="U61" s="105">
        <f t="shared" si="456"/>
        <v>55.245000000000005</v>
      </c>
      <c r="V61" s="106">
        <f t="shared" si="457"/>
        <v>55.245000000000005</v>
      </c>
      <c r="W61" s="107">
        <f t="shared" si="458"/>
        <v>0</v>
      </c>
      <c r="X61" s="108">
        <f t="shared" si="459"/>
        <v>0</v>
      </c>
      <c r="Y61" s="105">
        <f t="shared" si="460"/>
        <v>0.14499999999999999</v>
      </c>
      <c r="Z61" s="106">
        <f t="shared" si="461"/>
        <v>0.14499999999999999</v>
      </c>
      <c r="AA61" s="107">
        <f t="shared" si="462"/>
        <v>0</v>
      </c>
      <c r="AB61" s="108">
        <f t="shared" si="463"/>
        <v>0</v>
      </c>
      <c r="AC61" s="105">
        <f t="shared" si="384"/>
        <v>0</v>
      </c>
      <c r="AD61" s="106"/>
      <c r="AE61" s="107"/>
      <c r="AF61" s="108"/>
      <c r="AG61" s="105">
        <f t="shared" si="385"/>
        <v>0</v>
      </c>
      <c r="AH61" s="106"/>
      <c r="AI61" s="107"/>
      <c r="AJ61" s="108"/>
      <c r="AK61" s="105">
        <f t="shared" si="386"/>
        <v>55.245000000000005</v>
      </c>
      <c r="AL61" s="106">
        <f t="shared" si="387"/>
        <v>55.245000000000005</v>
      </c>
      <c r="AM61" s="107">
        <f t="shared" si="388"/>
        <v>0</v>
      </c>
      <c r="AN61" s="108">
        <f t="shared" si="389"/>
        <v>0</v>
      </c>
      <c r="AO61" s="105">
        <f t="shared" si="390"/>
        <v>0.14499999999999999</v>
      </c>
      <c r="AP61" s="106">
        <f t="shared" si="391"/>
        <v>0.14499999999999999</v>
      </c>
      <c r="AQ61" s="107">
        <f t="shared" si="392"/>
        <v>0</v>
      </c>
      <c r="AR61" s="108">
        <f t="shared" si="393"/>
        <v>0</v>
      </c>
      <c r="AS61" s="105">
        <f t="shared" si="394"/>
        <v>0</v>
      </c>
      <c r="AT61" s="106"/>
      <c r="AU61" s="107"/>
      <c r="AV61" s="108"/>
      <c r="AW61" s="105">
        <f t="shared" si="395"/>
        <v>0</v>
      </c>
      <c r="AX61" s="106"/>
      <c r="AY61" s="107"/>
      <c r="AZ61" s="108"/>
      <c r="BA61" s="105">
        <f t="shared" si="396"/>
        <v>55.245000000000005</v>
      </c>
      <c r="BB61" s="106">
        <f t="shared" si="397"/>
        <v>55.245000000000005</v>
      </c>
      <c r="BC61" s="107">
        <f t="shared" si="398"/>
        <v>0</v>
      </c>
      <c r="BD61" s="108">
        <f t="shared" si="399"/>
        <v>0</v>
      </c>
      <c r="BE61" s="105">
        <f t="shared" si="400"/>
        <v>0.14499999999999999</v>
      </c>
      <c r="BF61" s="106">
        <f t="shared" si="401"/>
        <v>0.14499999999999999</v>
      </c>
      <c r="BG61" s="107">
        <f t="shared" si="402"/>
        <v>0</v>
      </c>
      <c r="BH61" s="108">
        <f t="shared" si="403"/>
        <v>0</v>
      </c>
      <c r="BI61" s="105">
        <f t="shared" si="404"/>
        <v>0</v>
      </c>
      <c r="BJ61" s="106"/>
      <c r="BK61" s="107"/>
      <c r="BL61" s="108"/>
      <c r="BM61" s="105">
        <f t="shared" si="405"/>
        <v>0</v>
      </c>
      <c r="BN61" s="106"/>
      <c r="BO61" s="107"/>
      <c r="BP61" s="108"/>
      <c r="BQ61" s="105">
        <f t="shared" si="406"/>
        <v>55.245000000000005</v>
      </c>
      <c r="BR61" s="106">
        <f t="shared" si="407"/>
        <v>55.245000000000005</v>
      </c>
      <c r="BS61" s="107">
        <f t="shared" si="408"/>
        <v>0</v>
      </c>
      <c r="BT61" s="108">
        <f t="shared" si="409"/>
        <v>0</v>
      </c>
      <c r="BU61" s="105">
        <f t="shared" si="410"/>
        <v>0.14499999999999999</v>
      </c>
      <c r="BV61" s="106">
        <f t="shared" si="411"/>
        <v>0.14499999999999999</v>
      </c>
      <c r="BW61" s="107">
        <f t="shared" si="412"/>
        <v>0</v>
      </c>
      <c r="BX61" s="108">
        <f t="shared" si="413"/>
        <v>0</v>
      </c>
      <c r="BY61" s="164">
        <f t="shared" si="414"/>
        <v>0</v>
      </c>
      <c r="BZ61" s="147"/>
      <c r="CA61" s="161"/>
      <c r="CB61" s="162"/>
      <c r="CC61" s="164">
        <f t="shared" si="415"/>
        <v>0</v>
      </c>
      <c r="CD61" s="147"/>
      <c r="CE61" s="161"/>
      <c r="CF61" s="162"/>
      <c r="CG61" s="105">
        <f t="shared" si="416"/>
        <v>55.245000000000005</v>
      </c>
      <c r="CH61" s="106">
        <f t="shared" si="417"/>
        <v>55.245000000000005</v>
      </c>
      <c r="CI61" s="107">
        <f t="shared" si="418"/>
        <v>0</v>
      </c>
      <c r="CJ61" s="108">
        <f t="shared" si="419"/>
        <v>0</v>
      </c>
      <c r="CK61" s="105">
        <f t="shared" si="420"/>
        <v>0.14499999999999999</v>
      </c>
      <c r="CL61" s="106">
        <f t="shared" si="421"/>
        <v>0.14499999999999999</v>
      </c>
      <c r="CM61" s="107">
        <f t="shared" si="422"/>
        <v>0</v>
      </c>
      <c r="CN61" s="108">
        <f t="shared" si="423"/>
        <v>0</v>
      </c>
      <c r="CO61" s="164">
        <f t="shared" si="424"/>
        <v>0</v>
      </c>
      <c r="CP61" s="147"/>
      <c r="CQ61" s="161"/>
      <c r="CR61" s="162"/>
      <c r="CS61" s="164">
        <f t="shared" si="425"/>
        <v>0</v>
      </c>
      <c r="CT61" s="147"/>
      <c r="CU61" s="161"/>
      <c r="CV61" s="162"/>
      <c r="CW61" s="105">
        <f t="shared" si="426"/>
        <v>55.245000000000005</v>
      </c>
      <c r="CX61" s="106">
        <f t="shared" si="427"/>
        <v>55.245000000000005</v>
      </c>
      <c r="CY61" s="107">
        <f t="shared" si="428"/>
        <v>0</v>
      </c>
      <c r="CZ61" s="108">
        <f t="shared" si="429"/>
        <v>0</v>
      </c>
      <c r="DA61" s="105">
        <f t="shared" si="430"/>
        <v>0.14499999999999999</v>
      </c>
      <c r="DB61" s="106">
        <f t="shared" si="431"/>
        <v>0.14499999999999999</v>
      </c>
      <c r="DC61" s="107">
        <f t="shared" si="432"/>
        <v>0</v>
      </c>
      <c r="DD61" s="108">
        <f t="shared" si="433"/>
        <v>0</v>
      </c>
      <c r="DE61" s="164">
        <f t="shared" si="434"/>
        <v>0</v>
      </c>
      <c r="DF61" s="147"/>
      <c r="DG61" s="161"/>
      <c r="DH61" s="162"/>
      <c r="DI61" s="164">
        <f t="shared" si="435"/>
        <v>0</v>
      </c>
      <c r="DJ61" s="147"/>
      <c r="DK61" s="161"/>
      <c r="DL61" s="162"/>
      <c r="DM61" s="105">
        <f t="shared" si="436"/>
        <v>55.245000000000005</v>
      </c>
      <c r="DN61" s="106">
        <f t="shared" si="437"/>
        <v>55.245000000000005</v>
      </c>
      <c r="DO61" s="107">
        <f t="shared" si="438"/>
        <v>0</v>
      </c>
      <c r="DP61" s="108">
        <f t="shared" si="439"/>
        <v>0</v>
      </c>
      <c r="DQ61" s="105">
        <f t="shared" si="440"/>
        <v>0.14499999999999999</v>
      </c>
      <c r="DR61" s="106">
        <f t="shared" si="441"/>
        <v>0.14499999999999999</v>
      </c>
      <c r="DS61" s="107">
        <f t="shared" si="442"/>
        <v>0</v>
      </c>
      <c r="DT61" s="108">
        <f t="shared" si="443"/>
        <v>0</v>
      </c>
      <c r="DU61" s="164">
        <f t="shared" si="444"/>
        <v>0</v>
      </c>
      <c r="DV61" s="147"/>
      <c r="DW61" s="161"/>
      <c r="DX61" s="162"/>
      <c r="DY61" s="164">
        <f t="shared" si="445"/>
        <v>0</v>
      </c>
      <c r="DZ61" s="147"/>
      <c r="EA61" s="161"/>
      <c r="EB61" s="162"/>
      <c r="EC61" s="105">
        <f t="shared" si="446"/>
        <v>55.245000000000005</v>
      </c>
      <c r="ED61" s="106">
        <f t="shared" si="447"/>
        <v>55.245000000000005</v>
      </c>
      <c r="EE61" s="107">
        <f t="shared" si="448"/>
        <v>0</v>
      </c>
      <c r="EF61" s="108">
        <f t="shared" si="449"/>
        <v>0</v>
      </c>
      <c r="EG61" s="105">
        <f t="shared" si="450"/>
        <v>0.14499999999999999</v>
      </c>
      <c r="EH61" s="106">
        <f t="shared" si="451"/>
        <v>0.14499999999999999</v>
      </c>
      <c r="EI61" s="107">
        <f t="shared" si="452"/>
        <v>0</v>
      </c>
      <c r="EJ61" s="108">
        <f t="shared" si="453"/>
        <v>0</v>
      </c>
      <c r="EK61" s="154">
        <f t="shared" si="0"/>
        <v>-6.8650000000000091</v>
      </c>
      <c r="EL61" s="154">
        <f t="shared" si="1"/>
        <v>-6.8650000000000091</v>
      </c>
      <c r="EM61" s="105">
        <f t="shared" si="454"/>
        <v>48.379999999999995</v>
      </c>
      <c r="EN61" s="106">
        <f>ER61+47.05</f>
        <v>48.379999999999995</v>
      </c>
      <c r="EO61" s="107"/>
      <c r="EP61" s="108"/>
      <c r="EQ61" s="105">
        <f t="shared" si="455"/>
        <v>1.33</v>
      </c>
      <c r="ER61" s="106">
        <v>1.33</v>
      </c>
      <c r="ES61" s="107"/>
      <c r="ET61" s="108"/>
    </row>
    <row r="62" spans="1:150" s="4" customFormat="1" ht="21.65" customHeight="1" x14ac:dyDescent="0.25">
      <c r="A62" s="42" t="s">
        <v>33</v>
      </c>
      <c r="B62" s="103" t="s">
        <v>47</v>
      </c>
      <c r="C62" s="48" t="s">
        <v>59</v>
      </c>
      <c r="D62" s="139" t="s">
        <v>37</v>
      </c>
      <c r="E62" s="105">
        <f t="shared" si="372"/>
        <v>1.1299999999999999</v>
      </c>
      <c r="F62" s="106">
        <v>1.1299999999999999</v>
      </c>
      <c r="G62" s="107"/>
      <c r="H62" s="108"/>
      <c r="I62" s="105">
        <f t="shared" si="373"/>
        <v>0</v>
      </c>
      <c r="J62" s="106"/>
      <c r="K62" s="107"/>
      <c r="L62" s="108"/>
      <c r="M62" s="105">
        <f t="shared" si="374"/>
        <v>0</v>
      </c>
      <c r="N62" s="106"/>
      <c r="O62" s="107"/>
      <c r="P62" s="108"/>
      <c r="Q62" s="105">
        <f t="shared" si="375"/>
        <v>0</v>
      </c>
      <c r="R62" s="106"/>
      <c r="S62" s="107"/>
      <c r="T62" s="108"/>
      <c r="U62" s="105">
        <f t="shared" si="456"/>
        <v>1.1299999999999999</v>
      </c>
      <c r="V62" s="106">
        <f t="shared" si="457"/>
        <v>1.1299999999999999</v>
      </c>
      <c r="W62" s="107">
        <f t="shared" si="458"/>
        <v>0</v>
      </c>
      <c r="X62" s="108">
        <f t="shared" si="459"/>
        <v>0</v>
      </c>
      <c r="Y62" s="105">
        <f t="shared" si="460"/>
        <v>0</v>
      </c>
      <c r="Z62" s="106">
        <f t="shared" si="461"/>
        <v>0</v>
      </c>
      <c r="AA62" s="107">
        <f t="shared" si="462"/>
        <v>0</v>
      </c>
      <c r="AB62" s="108">
        <f t="shared" si="463"/>
        <v>0</v>
      </c>
      <c r="AC62" s="105">
        <f t="shared" si="384"/>
        <v>0</v>
      </c>
      <c r="AD62" s="106"/>
      <c r="AE62" s="107"/>
      <c r="AF62" s="108"/>
      <c r="AG62" s="105">
        <f t="shared" si="385"/>
        <v>0</v>
      </c>
      <c r="AH62" s="106"/>
      <c r="AI62" s="107"/>
      <c r="AJ62" s="108"/>
      <c r="AK62" s="105">
        <f t="shared" si="386"/>
        <v>1.1299999999999999</v>
      </c>
      <c r="AL62" s="106">
        <f t="shared" si="387"/>
        <v>1.1299999999999999</v>
      </c>
      <c r="AM62" s="107">
        <f t="shared" si="388"/>
        <v>0</v>
      </c>
      <c r="AN62" s="108">
        <f t="shared" si="389"/>
        <v>0</v>
      </c>
      <c r="AO62" s="105">
        <f t="shared" si="390"/>
        <v>0</v>
      </c>
      <c r="AP62" s="106">
        <f t="shared" si="391"/>
        <v>0</v>
      </c>
      <c r="AQ62" s="107">
        <f t="shared" si="392"/>
        <v>0</v>
      </c>
      <c r="AR62" s="108">
        <f t="shared" si="393"/>
        <v>0</v>
      </c>
      <c r="AS62" s="105">
        <f t="shared" si="394"/>
        <v>0</v>
      </c>
      <c r="AT62" s="106"/>
      <c r="AU62" s="107"/>
      <c r="AV62" s="108"/>
      <c r="AW62" s="105">
        <f t="shared" si="395"/>
        <v>0</v>
      </c>
      <c r="AX62" s="106"/>
      <c r="AY62" s="107"/>
      <c r="AZ62" s="108"/>
      <c r="BA62" s="105">
        <f t="shared" si="396"/>
        <v>1.1299999999999999</v>
      </c>
      <c r="BB62" s="106">
        <f t="shared" si="397"/>
        <v>1.1299999999999999</v>
      </c>
      <c r="BC62" s="107">
        <f t="shared" si="398"/>
        <v>0</v>
      </c>
      <c r="BD62" s="108">
        <f t="shared" si="399"/>
        <v>0</v>
      </c>
      <c r="BE62" s="105">
        <f t="shared" si="400"/>
        <v>0</v>
      </c>
      <c r="BF62" s="106">
        <f t="shared" si="401"/>
        <v>0</v>
      </c>
      <c r="BG62" s="107">
        <f t="shared" si="402"/>
        <v>0</v>
      </c>
      <c r="BH62" s="108">
        <f t="shared" si="403"/>
        <v>0</v>
      </c>
      <c r="BI62" s="105">
        <f t="shared" si="404"/>
        <v>0</v>
      </c>
      <c r="BJ62" s="106"/>
      <c r="BK62" s="107"/>
      <c r="BL62" s="108"/>
      <c r="BM62" s="105">
        <f t="shared" si="405"/>
        <v>0</v>
      </c>
      <c r="BN62" s="106"/>
      <c r="BO62" s="107"/>
      <c r="BP62" s="108"/>
      <c r="BQ62" s="105">
        <f t="shared" si="406"/>
        <v>1.1299999999999999</v>
      </c>
      <c r="BR62" s="106">
        <f t="shared" si="407"/>
        <v>1.1299999999999999</v>
      </c>
      <c r="BS62" s="107">
        <f t="shared" si="408"/>
        <v>0</v>
      </c>
      <c r="BT62" s="108">
        <f t="shared" si="409"/>
        <v>0</v>
      </c>
      <c r="BU62" s="105">
        <f t="shared" si="410"/>
        <v>0</v>
      </c>
      <c r="BV62" s="106">
        <f t="shared" si="411"/>
        <v>0</v>
      </c>
      <c r="BW62" s="107">
        <f t="shared" si="412"/>
        <v>0</v>
      </c>
      <c r="BX62" s="108">
        <f t="shared" si="413"/>
        <v>0</v>
      </c>
      <c r="BY62" s="164">
        <f t="shared" si="414"/>
        <v>0</v>
      </c>
      <c r="BZ62" s="147"/>
      <c r="CA62" s="161"/>
      <c r="CB62" s="162"/>
      <c r="CC62" s="164">
        <f t="shared" si="415"/>
        <v>0</v>
      </c>
      <c r="CD62" s="147"/>
      <c r="CE62" s="161"/>
      <c r="CF62" s="162"/>
      <c r="CG62" s="105">
        <f t="shared" si="416"/>
        <v>1.1299999999999999</v>
      </c>
      <c r="CH62" s="106">
        <f t="shared" si="417"/>
        <v>1.1299999999999999</v>
      </c>
      <c r="CI62" s="107">
        <f t="shared" si="418"/>
        <v>0</v>
      </c>
      <c r="CJ62" s="108">
        <f t="shared" si="419"/>
        <v>0</v>
      </c>
      <c r="CK62" s="105">
        <f t="shared" si="420"/>
        <v>0</v>
      </c>
      <c r="CL62" s="106">
        <f t="shared" si="421"/>
        <v>0</v>
      </c>
      <c r="CM62" s="107">
        <f t="shared" si="422"/>
        <v>0</v>
      </c>
      <c r="CN62" s="108">
        <f t="shared" si="423"/>
        <v>0</v>
      </c>
      <c r="CO62" s="164">
        <f t="shared" si="424"/>
        <v>0</v>
      </c>
      <c r="CP62" s="147"/>
      <c r="CQ62" s="161"/>
      <c r="CR62" s="162"/>
      <c r="CS62" s="164">
        <f t="shared" si="425"/>
        <v>0</v>
      </c>
      <c r="CT62" s="147"/>
      <c r="CU62" s="161"/>
      <c r="CV62" s="162"/>
      <c r="CW62" s="105">
        <f t="shared" si="426"/>
        <v>1.1299999999999999</v>
      </c>
      <c r="CX62" s="106">
        <f t="shared" si="427"/>
        <v>1.1299999999999999</v>
      </c>
      <c r="CY62" s="107">
        <f t="shared" si="428"/>
        <v>0</v>
      </c>
      <c r="CZ62" s="108">
        <f t="shared" si="429"/>
        <v>0</v>
      </c>
      <c r="DA62" s="105">
        <f t="shared" si="430"/>
        <v>0</v>
      </c>
      <c r="DB62" s="106">
        <f t="shared" si="431"/>
        <v>0</v>
      </c>
      <c r="DC62" s="107">
        <f t="shared" si="432"/>
        <v>0</v>
      </c>
      <c r="DD62" s="108">
        <f t="shared" si="433"/>
        <v>0</v>
      </c>
      <c r="DE62" s="164">
        <f t="shared" si="434"/>
        <v>0</v>
      </c>
      <c r="DF62" s="147"/>
      <c r="DG62" s="161"/>
      <c r="DH62" s="162"/>
      <c r="DI62" s="164">
        <f t="shared" si="435"/>
        <v>0</v>
      </c>
      <c r="DJ62" s="147"/>
      <c r="DK62" s="161"/>
      <c r="DL62" s="162"/>
      <c r="DM62" s="105">
        <f t="shared" si="436"/>
        <v>1.1299999999999999</v>
      </c>
      <c r="DN62" s="106">
        <f t="shared" si="437"/>
        <v>1.1299999999999999</v>
      </c>
      <c r="DO62" s="107">
        <f t="shared" si="438"/>
        <v>0</v>
      </c>
      <c r="DP62" s="108">
        <f t="shared" si="439"/>
        <v>0</v>
      </c>
      <c r="DQ62" s="105">
        <f t="shared" si="440"/>
        <v>0</v>
      </c>
      <c r="DR62" s="106">
        <f t="shared" si="441"/>
        <v>0</v>
      </c>
      <c r="DS62" s="107">
        <f t="shared" si="442"/>
        <v>0</v>
      </c>
      <c r="DT62" s="108">
        <f t="shared" si="443"/>
        <v>0</v>
      </c>
      <c r="DU62" s="164">
        <f t="shared" si="444"/>
        <v>0</v>
      </c>
      <c r="DV62" s="147"/>
      <c r="DW62" s="161"/>
      <c r="DX62" s="162"/>
      <c r="DY62" s="164">
        <f t="shared" si="445"/>
        <v>0</v>
      </c>
      <c r="DZ62" s="147"/>
      <c r="EA62" s="161"/>
      <c r="EB62" s="162"/>
      <c r="EC62" s="105">
        <f t="shared" si="446"/>
        <v>1.1299999999999999</v>
      </c>
      <c r="ED62" s="106">
        <f t="shared" si="447"/>
        <v>1.1299999999999999</v>
      </c>
      <c r="EE62" s="107">
        <f t="shared" si="448"/>
        <v>0</v>
      </c>
      <c r="EF62" s="108">
        <f t="shared" si="449"/>
        <v>0</v>
      </c>
      <c r="EG62" s="105">
        <f t="shared" si="450"/>
        <v>0</v>
      </c>
      <c r="EH62" s="106">
        <f t="shared" si="451"/>
        <v>0</v>
      </c>
      <c r="EI62" s="107">
        <f t="shared" si="452"/>
        <v>0</v>
      </c>
      <c r="EJ62" s="108">
        <f t="shared" si="453"/>
        <v>0</v>
      </c>
      <c r="EK62" s="154">
        <f t="shared" si="0"/>
        <v>-0.16999999999999993</v>
      </c>
      <c r="EL62" s="154">
        <f t="shared" si="1"/>
        <v>-0.16999999999999993</v>
      </c>
      <c r="EM62" s="105">
        <f t="shared" si="454"/>
        <v>0.96</v>
      </c>
      <c r="EN62" s="106">
        <v>0.96</v>
      </c>
      <c r="EO62" s="107"/>
      <c r="EP62" s="108"/>
      <c r="EQ62" s="105">
        <f t="shared" si="455"/>
        <v>0</v>
      </c>
      <c r="ER62" s="106"/>
      <c r="ES62" s="107"/>
      <c r="ET62" s="108"/>
    </row>
    <row r="63" spans="1:150" s="4" customFormat="1" ht="21.65" customHeight="1" x14ac:dyDescent="0.25">
      <c r="A63" s="139" t="s">
        <v>7</v>
      </c>
      <c r="B63" s="25" t="s">
        <v>49</v>
      </c>
      <c r="C63" s="48" t="s">
        <v>145</v>
      </c>
      <c r="D63" s="139" t="s">
        <v>37</v>
      </c>
      <c r="E63" s="105"/>
      <c r="F63" s="106"/>
      <c r="G63" s="107"/>
      <c r="H63" s="108"/>
      <c r="I63" s="105"/>
      <c r="J63" s="106"/>
      <c r="K63" s="107"/>
      <c r="L63" s="108"/>
      <c r="M63" s="105"/>
      <c r="N63" s="106"/>
      <c r="O63" s="107"/>
      <c r="P63" s="108"/>
      <c r="Q63" s="105"/>
      <c r="R63" s="106"/>
      <c r="S63" s="107"/>
      <c r="T63" s="108"/>
      <c r="U63" s="105">
        <f t="shared" si="456"/>
        <v>0</v>
      </c>
      <c r="V63" s="106">
        <f t="shared" si="457"/>
        <v>0</v>
      </c>
      <c r="W63" s="107">
        <f t="shared" si="458"/>
        <v>0</v>
      </c>
      <c r="X63" s="108">
        <f t="shared" si="459"/>
        <v>0</v>
      </c>
      <c r="Y63" s="105">
        <f t="shared" si="460"/>
        <v>0</v>
      </c>
      <c r="Z63" s="106">
        <f t="shared" si="461"/>
        <v>0</v>
      </c>
      <c r="AA63" s="107">
        <f t="shared" si="462"/>
        <v>0</v>
      </c>
      <c r="AB63" s="108">
        <f t="shared" si="463"/>
        <v>0</v>
      </c>
      <c r="AC63" s="105">
        <f t="shared" si="384"/>
        <v>3.3460000000000001</v>
      </c>
      <c r="AD63" s="106">
        <v>3.3460000000000001</v>
      </c>
      <c r="AE63" s="107"/>
      <c r="AF63" s="108"/>
      <c r="AG63" s="105"/>
      <c r="AH63" s="106"/>
      <c r="AI63" s="107"/>
      <c r="AJ63" s="108"/>
      <c r="AK63" s="105">
        <f t="shared" si="386"/>
        <v>3.3460000000000001</v>
      </c>
      <c r="AL63" s="106">
        <f t="shared" si="387"/>
        <v>3.3460000000000001</v>
      </c>
      <c r="AM63" s="107">
        <f t="shared" si="388"/>
        <v>0</v>
      </c>
      <c r="AN63" s="108">
        <f t="shared" si="389"/>
        <v>0</v>
      </c>
      <c r="AO63" s="105">
        <f t="shared" si="390"/>
        <v>0</v>
      </c>
      <c r="AP63" s="106">
        <f t="shared" si="391"/>
        <v>0</v>
      </c>
      <c r="AQ63" s="107">
        <f t="shared" si="392"/>
        <v>0</v>
      </c>
      <c r="AR63" s="108">
        <f t="shared" si="393"/>
        <v>0</v>
      </c>
      <c r="AS63" s="105">
        <f t="shared" si="394"/>
        <v>7.9989999999999997</v>
      </c>
      <c r="AT63" s="106">
        <v>7.9989999999999997</v>
      </c>
      <c r="AU63" s="107"/>
      <c r="AV63" s="108"/>
      <c r="AW63" s="105"/>
      <c r="AX63" s="106"/>
      <c r="AY63" s="107"/>
      <c r="AZ63" s="108"/>
      <c r="BA63" s="105">
        <f t="shared" si="396"/>
        <v>11.344999999999999</v>
      </c>
      <c r="BB63" s="106">
        <f t="shared" si="397"/>
        <v>11.344999999999999</v>
      </c>
      <c r="BC63" s="107">
        <f t="shared" si="398"/>
        <v>0</v>
      </c>
      <c r="BD63" s="108">
        <f t="shared" si="399"/>
        <v>0</v>
      </c>
      <c r="BE63" s="105">
        <f t="shared" si="400"/>
        <v>0</v>
      </c>
      <c r="BF63" s="106">
        <f t="shared" si="401"/>
        <v>0</v>
      </c>
      <c r="BG63" s="107">
        <f t="shared" si="402"/>
        <v>0</v>
      </c>
      <c r="BH63" s="108">
        <f t="shared" si="403"/>
        <v>0</v>
      </c>
      <c r="BI63" s="105">
        <f t="shared" si="404"/>
        <v>0</v>
      </c>
      <c r="BJ63" s="106"/>
      <c r="BK63" s="107"/>
      <c r="BL63" s="108"/>
      <c r="BM63" s="105"/>
      <c r="BN63" s="106"/>
      <c r="BO63" s="107"/>
      <c r="BP63" s="108"/>
      <c r="BQ63" s="105">
        <f t="shared" si="406"/>
        <v>11.344999999999999</v>
      </c>
      <c r="BR63" s="106">
        <f t="shared" si="407"/>
        <v>11.344999999999999</v>
      </c>
      <c r="BS63" s="107">
        <f t="shared" si="408"/>
        <v>0</v>
      </c>
      <c r="BT63" s="108">
        <f t="shared" si="409"/>
        <v>0</v>
      </c>
      <c r="BU63" s="105">
        <f t="shared" si="410"/>
        <v>0</v>
      </c>
      <c r="BV63" s="106">
        <f t="shared" si="411"/>
        <v>0</v>
      </c>
      <c r="BW63" s="107">
        <f t="shared" si="412"/>
        <v>0</v>
      </c>
      <c r="BX63" s="108">
        <f t="shared" si="413"/>
        <v>0</v>
      </c>
      <c r="BY63" s="164">
        <f t="shared" si="414"/>
        <v>0</v>
      </c>
      <c r="BZ63" s="147"/>
      <c r="CA63" s="161"/>
      <c r="CB63" s="162"/>
      <c r="CC63" s="164"/>
      <c r="CD63" s="147"/>
      <c r="CE63" s="161"/>
      <c r="CF63" s="162"/>
      <c r="CG63" s="105">
        <f t="shared" si="416"/>
        <v>11.344999999999999</v>
      </c>
      <c r="CH63" s="106">
        <f t="shared" si="417"/>
        <v>11.344999999999999</v>
      </c>
      <c r="CI63" s="107">
        <f t="shared" si="418"/>
        <v>0</v>
      </c>
      <c r="CJ63" s="108">
        <f t="shared" si="419"/>
        <v>0</v>
      </c>
      <c r="CK63" s="105">
        <f t="shared" si="420"/>
        <v>0</v>
      </c>
      <c r="CL63" s="106">
        <f t="shared" si="421"/>
        <v>0</v>
      </c>
      <c r="CM63" s="107">
        <f t="shared" si="422"/>
        <v>0</v>
      </c>
      <c r="CN63" s="108">
        <f t="shared" si="423"/>
        <v>0</v>
      </c>
      <c r="CO63" s="164">
        <f t="shared" si="424"/>
        <v>0</v>
      </c>
      <c r="CP63" s="147"/>
      <c r="CQ63" s="161"/>
      <c r="CR63" s="162"/>
      <c r="CS63" s="164"/>
      <c r="CT63" s="147"/>
      <c r="CU63" s="161"/>
      <c r="CV63" s="162"/>
      <c r="CW63" s="105">
        <f t="shared" si="426"/>
        <v>11.344999999999999</v>
      </c>
      <c r="CX63" s="106">
        <f t="shared" si="427"/>
        <v>11.344999999999999</v>
      </c>
      <c r="CY63" s="107">
        <f t="shared" si="428"/>
        <v>0</v>
      </c>
      <c r="CZ63" s="108">
        <f t="shared" si="429"/>
        <v>0</v>
      </c>
      <c r="DA63" s="105">
        <f t="shared" si="430"/>
        <v>0</v>
      </c>
      <c r="DB63" s="106">
        <f t="shared" si="431"/>
        <v>0</v>
      </c>
      <c r="DC63" s="107">
        <f t="shared" si="432"/>
        <v>0</v>
      </c>
      <c r="DD63" s="108">
        <f t="shared" si="433"/>
        <v>0</v>
      </c>
      <c r="DE63" s="164">
        <f t="shared" si="434"/>
        <v>0</v>
      </c>
      <c r="DF63" s="147"/>
      <c r="DG63" s="161"/>
      <c r="DH63" s="162"/>
      <c r="DI63" s="164"/>
      <c r="DJ63" s="147"/>
      <c r="DK63" s="161"/>
      <c r="DL63" s="162"/>
      <c r="DM63" s="105">
        <f t="shared" si="436"/>
        <v>11.344999999999999</v>
      </c>
      <c r="DN63" s="106">
        <f t="shared" si="437"/>
        <v>11.344999999999999</v>
      </c>
      <c r="DO63" s="107">
        <f t="shared" si="438"/>
        <v>0</v>
      </c>
      <c r="DP63" s="108">
        <f t="shared" si="439"/>
        <v>0</v>
      </c>
      <c r="DQ63" s="105">
        <f t="shared" si="440"/>
        <v>0</v>
      </c>
      <c r="DR63" s="106">
        <f t="shared" si="441"/>
        <v>0</v>
      </c>
      <c r="DS63" s="107">
        <f t="shared" si="442"/>
        <v>0</v>
      </c>
      <c r="DT63" s="108">
        <f t="shared" si="443"/>
        <v>0</v>
      </c>
      <c r="DU63" s="164">
        <f t="shared" si="444"/>
        <v>0</v>
      </c>
      <c r="DV63" s="147"/>
      <c r="DW63" s="161"/>
      <c r="DX63" s="162"/>
      <c r="DY63" s="164"/>
      <c r="DZ63" s="147"/>
      <c r="EA63" s="161"/>
      <c r="EB63" s="162"/>
      <c r="EC63" s="105">
        <f t="shared" si="446"/>
        <v>11.344999999999999</v>
      </c>
      <c r="ED63" s="106">
        <f t="shared" si="447"/>
        <v>11.344999999999999</v>
      </c>
      <c r="EE63" s="107">
        <f t="shared" si="448"/>
        <v>0</v>
      </c>
      <c r="EF63" s="108">
        <f t="shared" si="449"/>
        <v>0</v>
      </c>
      <c r="EG63" s="105">
        <f t="shared" si="450"/>
        <v>0</v>
      </c>
      <c r="EH63" s="106">
        <f t="shared" si="451"/>
        <v>0</v>
      </c>
      <c r="EI63" s="107">
        <f t="shared" si="452"/>
        <v>0</v>
      </c>
      <c r="EJ63" s="108">
        <f t="shared" si="453"/>
        <v>0</v>
      </c>
      <c r="EK63" s="153">
        <f t="shared" si="0"/>
        <v>0</v>
      </c>
      <c r="EL63" s="154">
        <f t="shared" si="1"/>
        <v>-11.344999999999999</v>
      </c>
      <c r="EM63" s="105"/>
      <c r="EN63" s="106"/>
      <c r="EO63" s="107"/>
      <c r="EP63" s="108"/>
      <c r="EQ63" s="105"/>
      <c r="ER63" s="106"/>
      <c r="ES63" s="107"/>
      <c r="ET63" s="108"/>
    </row>
    <row r="64" spans="1:150" ht="22.25" customHeight="1" x14ac:dyDescent="0.3">
      <c r="A64" s="46"/>
      <c r="B64" s="33" t="s">
        <v>15</v>
      </c>
      <c r="C64" s="47" t="s">
        <v>99</v>
      </c>
      <c r="D64" s="93"/>
      <c r="E64" s="148">
        <f t="shared" si="372"/>
        <v>215.39400000000003</v>
      </c>
      <c r="F64" s="149">
        <f>SUM(F66:F69)</f>
        <v>213.21400000000003</v>
      </c>
      <c r="G64" s="150">
        <f>SUM(G66:G69)</f>
        <v>142.94999999999999</v>
      </c>
      <c r="H64" s="151">
        <f>SUM(H66:H69)</f>
        <v>2.1800000000000002</v>
      </c>
      <c r="I64" s="148">
        <f t="shared" si="373"/>
        <v>0.57399999999999995</v>
      </c>
      <c r="J64" s="149">
        <f>SUM(J66:J68)</f>
        <v>0.57399999999999995</v>
      </c>
      <c r="K64" s="150">
        <f>SUM(K66:K68)</f>
        <v>0</v>
      </c>
      <c r="L64" s="151">
        <f>SUM(L66:L68)</f>
        <v>0</v>
      </c>
      <c r="M64" s="148">
        <f t="shared" ref="M64" si="464">SUM(N64,P64)</f>
        <v>0</v>
      </c>
      <c r="N64" s="149">
        <f>SUM(N66:N69)</f>
        <v>0</v>
      </c>
      <c r="O64" s="150">
        <f>SUM(O66:O69)</f>
        <v>0</v>
      </c>
      <c r="P64" s="151">
        <f>SUM(P66:P69)</f>
        <v>0</v>
      </c>
      <c r="Q64" s="148">
        <f t="shared" ref="Q64" si="465">SUM(R64,T64)</f>
        <v>0</v>
      </c>
      <c r="R64" s="149">
        <f>SUM(R66:R68)</f>
        <v>0</v>
      </c>
      <c r="S64" s="150">
        <f>SUM(S66:S68)</f>
        <v>0</v>
      </c>
      <c r="T64" s="151">
        <f>SUM(T66:T68)</f>
        <v>0</v>
      </c>
      <c r="U64" s="148">
        <f t="shared" ref="U64" si="466">SUM(V64,X64)</f>
        <v>215.39400000000003</v>
      </c>
      <c r="V64" s="149">
        <f>SUM(V66:V69)</f>
        <v>213.21400000000003</v>
      </c>
      <c r="W64" s="150">
        <f>SUM(W66:W69)</f>
        <v>142.94999999999999</v>
      </c>
      <c r="X64" s="151">
        <f>SUM(X66:X69)</f>
        <v>2.1800000000000002</v>
      </c>
      <c r="Y64" s="148">
        <f t="shared" ref="Y64" si="467">SUM(Z64,AB64)</f>
        <v>0.57399999999999995</v>
      </c>
      <c r="Z64" s="149">
        <f>SUM(Z66:Z68)</f>
        <v>0.57399999999999995</v>
      </c>
      <c r="AA64" s="150">
        <f>SUM(AA66:AA68)</f>
        <v>0</v>
      </c>
      <c r="AB64" s="151">
        <f>SUM(AB66:AB68)</f>
        <v>0</v>
      </c>
      <c r="AC64" s="148">
        <f t="shared" ref="AC64" si="468">SUM(AD64,AF64)</f>
        <v>0.47</v>
      </c>
      <c r="AD64" s="149">
        <f>SUM(AD66:AD69)</f>
        <v>0.47</v>
      </c>
      <c r="AE64" s="150">
        <f>SUM(AE66:AE69)</f>
        <v>0</v>
      </c>
      <c r="AF64" s="151">
        <f>SUM(AF66:AF69)</f>
        <v>0</v>
      </c>
      <c r="AG64" s="148">
        <f t="shared" ref="AG64" si="469">SUM(AH64,AJ64)</f>
        <v>0</v>
      </c>
      <c r="AH64" s="149">
        <f>SUM(AH66:AH68)</f>
        <v>0</v>
      </c>
      <c r="AI64" s="150">
        <f>SUM(AI66:AI68)</f>
        <v>0</v>
      </c>
      <c r="AJ64" s="151">
        <f>SUM(AJ66:AJ68)</f>
        <v>0</v>
      </c>
      <c r="AK64" s="148">
        <f t="shared" si="386"/>
        <v>215.86400000000003</v>
      </c>
      <c r="AL64" s="149">
        <f>SUM(AL66:AL69)</f>
        <v>213.68400000000003</v>
      </c>
      <c r="AM64" s="150">
        <f>SUM(AM66:AM69)</f>
        <v>142.94999999999999</v>
      </c>
      <c r="AN64" s="151">
        <f>SUM(AN66:AN69)</f>
        <v>2.1800000000000002</v>
      </c>
      <c r="AO64" s="148">
        <f t="shared" si="390"/>
        <v>0.57399999999999995</v>
      </c>
      <c r="AP64" s="149">
        <f>SUM(AP66:AP68)</f>
        <v>0.57399999999999995</v>
      </c>
      <c r="AQ64" s="150">
        <f>SUM(AQ66:AQ68)</f>
        <v>0</v>
      </c>
      <c r="AR64" s="151">
        <f>SUM(AR66:AR68)</f>
        <v>0</v>
      </c>
      <c r="AS64" s="148">
        <f t="shared" si="394"/>
        <v>-4.4420000000000002</v>
      </c>
      <c r="AT64" s="149">
        <f>SUM(AT66:AT69)</f>
        <v>-4.4420000000000002</v>
      </c>
      <c r="AU64" s="150">
        <f>SUM(AU66:AU69)</f>
        <v>-4.4420000000000002</v>
      </c>
      <c r="AV64" s="151">
        <f>SUM(AV66:AV69)</f>
        <v>0</v>
      </c>
      <c r="AW64" s="148">
        <f t="shared" ref="AW64" si="470">SUM(AX64,AZ64)</f>
        <v>0</v>
      </c>
      <c r="AX64" s="149">
        <f>SUM(AX66:AX68)</f>
        <v>0</v>
      </c>
      <c r="AY64" s="150">
        <f>SUM(AY66:AY68)</f>
        <v>0</v>
      </c>
      <c r="AZ64" s="151">
        <f>SUM(AZ66:AZ68)</f>
        <v>0</v>
      </c>
      <c r="BA64" s="148">
        <f t="shared" si="396"/>
        <v>211.42200000000003</v>
      </c>
      <c r="BB64" s="149">
        <f>SUM(BB66:BB69)</f>
        <v>209.24200000000002</v>
      </c>
      <c r="BC64" s="150">
        <f>SUM(BC66:BC69)</f>
        <v>138.50799999999998</v>
      </c>
      <c r="BD64" s="151">
        <f>SUM(BD66:BD69)</f>
        <v>2.1800000000000002</v>
      </c>
      <c r="BE64" s="148">
        <f t="shared" si="400"/>
        <v>0.57399999999999995</v>
      </c>
      <c r="BF64" s="149">
        <f>SUM(BF66:BF68)</f>
        <v>0.57399999999999995</v>
      </c>
      <c r="BG64" s="150">
        <f>SUM(BG66:BG68)</f>
        <v>0</v>
      </c>
      <c r="BH64" s="151">
        <f>SUM(BH66:BH68)</f>
        <v>0</v>
      </c>
      <c r="BI64" s="148">
        <f t="shared" si="404"/>
        <v>8.1289999999999996</v>
      </c>
      <c r="BJ64" s="149">
        <f>SUM(BJ66:BJ69)</f>
        <v>8.1289999999999996</v>
      </c>
      <c r="BK64" s="150">
        <f>SUM(BK66:BK69)</f>
        <v>0</v>
      </c>
      <c r="BL64" s="151">
        <f>SUM(BL66:BL69)</f>
        <v>0</v>
      </c>
      <c r="BM64" s="148">
        <f t="shared" ref="BM64" si="471">SUM(BN64,BP64)</f>
        <v>0</v>
      </c>
      <c r="BN64" s="149">
        <f>SUM(BN66:BN68)</f>
        <v>0</v>
      </c>
      <c r="BO64" s="150">
        <f>SUM(BO66:BO68)</f>
        <v>0</v>
      </c>
      <c r="BP64" s="151">
        <f>SUM(BP66:BP68)</f>
        <v>0</v>
      </c>
      <c r="BQ64" s="148">
        <f t="shared" si="406"/>
        <v>219.55100000000002</v>
      </c>
      <c r="BR64" s="149">
        <f>SUM(BR66:BR69)</f>
        <v>217.37100000000001</v>
      </c>
      <c r="BS64" s="150">
        <f>SUM(BS66:BS69)</f>
        <v>138.50799999999998</v>
      </c>
      <c r="BT64" s="151">
        <f>SUM(BT66:BT69)</f>
        <v>2.1800000000000002</v>
      </c>
      <c r="BU64" s="148">
        <f t="shared" si="410"/>
        <v>0.57399999999999995</v>
      </c>
      <c r="BV64" s="149">
        <f>SUM(BV66:BV68)</f>
        <v>0.57399999999999995</v>
      </c>
      <c r="BW64" s="150">
        <f>SUM(BW66:BW68)</f>
        <v>0</v>
      </c>
      <c r="BX64" s="151">
        <f>SUM(BX66:BX68)</f>
        <v>0</v>
      </c>
      <c r="BY64" s="175">
        <f t="shared" si="414"/>
        <v>0</v>
      </c>
      <c r="BZ64" s="176">
        <f>SUM(BZ66:BZ69)</f>
        <v>0</v>
      </c>
      <c r="CA64" s="177">
        <f>SUM(CA66:CA69)</f>
        <v>0</v>
      </c>
      <c r="CB64" s="178">
        <f>SUM(CB66:CB69)</f>
        <v>0</v>
      </c>
      <c r="CC64" s="175">
        <f t="shared" ref="CC64" si="472">SUM(CD64,CF64)</f>
        <v>0</v>
      </c>
      <c r="CD64" s="176">
        <f>SUM(CD66:CD68)</f>
        <v>0</v>
      </c>
      <c r="CE64" s="177">
        <f>SUM(CE66:CE68)</f>
        <v>0</v>
      </c>
      <c r="CF64" s="178">
        <f>SUM(CF66:CF68)</f>
        <v>0</v>
      </c>
      <c r="CG64" s="148">
        <f t="shared" si="416"/>
        <v>219.55100000000002</v>
      </c>
      <c r="CH64" s="149">
        <f>SUM(CH66:CH69)</f>
        <v>217.37100000000001</v>
      </c>
      <c r="CI64" s="150">
        <f>SUM(CI66:CI69)</f>
        <v>138.50799999999998</v>
      </c>
      <c r="CJ64" s="151">
        <f>SUM(CJ66:CJ69)</f>
        <v>2.1800000000000002</v>
      </c>
      <c r="CK64" s="148">
        <f t="shared" si="420"/>
        <v>0.57399999999999995</v>
      </c>
      <c r="CL64" s="149">
        <f>SUM(CL66:CL68)</f>
        <v>0.57399999999999995</v>
      </c>
      <c r="CM64" s="150">
        <f>SUM(CM66:CM68)</f>
        <v>0</v>
      </c>
      <c r="CN64" s="151">
        <f>SUM(CN66:CN68)</f>
        <v>0</v>
      </c>
      <c r="CO64" s="175">
        <f t="shared" si="424"/>
        <v>0</v>
      </c>
      <c r="CP64" s="176">
        <f>SUM(CP66:CP69)</f>
        <v>0</v>
      </c>
      <c r="CQ64" s="177">
        <f>SUM(CQ66:CQ69)</f>
        <v>0</v>
      </c>
      <c r="CR64" s="178">
        <f>SUM(CR66:CR69)</f>
        <v>0</v>
      </c>
      <c r="CS64" s="175">
        <f t="shared" ref="CS64" si="473">SUM(CT64,CV64)</f>
        <v>0</v>
      </c>
      <c r="CT64" s="176">
        <f>SUM(CT66:CT68)</f>
        <v>0</v>
      </c>
      <c r="CU64" s="177">
        <f>SUM(CU66:CU68)</f>
        <v>0</v>
      </c>
      <c r="CV64" s="178">
        <f>SUM(CV66:CV68)</f>
        <v>0</v>
      </c>
      <c r="CW64" s="148">
        <f t="shared" si="426"/>
        <v>219.55100000000002</v>
      </c>
      <c r="CX64" s="149">
        <f>SUM(CX66:CX69)</f>
        <v>217.37100000000001</v>
      </c>
      <c r="CY64" s="150">
        <f>SUM(CY66:CY69)</f>
        <v>138.50799999999998</v>
      </c>
      <c r="CZ64" s="151">
        <f>SUM(CZ66:CZ69)</f>
        <v>2.1800000000000002</v>
      </c>
      <c r="DA64" s="148">
        <f t="shared" si="430"/>
        <v>0.57399999999999995</v>
      </c>
      <c r="DB64" s="149">
        <f>SUM(DB66:DB68)</f>
        <v>0.57399999999999995</v>
      </c>
      <c r="DC64" s="150">
        <f>SUM(DC66:DC68)</f>
        <v>0</v>
      </c>
      <c r="DD64" s="151">
        <f>SUM(DD66:DD68)</f>
        <v>0</v>
      </c>
      <c r="DE64" s="175">
        <f t="shared" si="434"/>
        <v>0</v>
      </c>
      <c r="DF64" s="176">
        <f>SUM(DF66:DF69)</f>
        <v>0</v>
      </c>
      <c r="DG64" s="177">
        <f>SUM(DG66:DG69)</f>
        <v>0</v>
      </c>
      <c r="DH64" s="178">
        <f>SUM(DH66:DH69)</f>
        <v>0</v>
      </c>
      <c r="DI64" s="175">
        <f t="shared" ref="DI64" si="474">SUM(DJ64,DL64)</f>
        <v>0</v>
      </c>
      <c r="DJ64" s="176">
        <f>SUM(DJ66:DJ68)</f>
        <v>0</v>
      </c>
      <c r="DK64" s="177">
        <f>SUM(DK66:DK68)</f>
        <v>0</v>
      </c>
      <c r="DL64" s="178">
        <f>SUM(DL66:DL68)</f>
        <v>0</v>
      </c>
      <c r="DM64" s="148">
        <f t="shared" si="436"/>
        <v>219.55100000000002</v>
      </c>
      <c r="DN64" s="149">
        <f>SUM(DN66:DN69)</f>
        <v>217.37100000000001</v>
      </c>
      <c r="DO64" s="150">
        <f>SUM(DO66:DO69)</f>
        <v>138.50799999999998</v>
      </c>
      <c r="DP64" s="151">
        <f>SUM(DP66:DP69)</f>
        <v>2.1800000000000002</v>
      </c>
      <c r="DQ64" s="148">
        <f t="shared" si="440"/>
        <v>0.57399999999999995</v>
      </c>
      <c r="DR64" s="149">
        <f>SUM(DR66:DR68)</f>
        <v>0.57399999999999995</v>
      </c>
      <c r="DS64" s="150">
        <f>SUM(DS66:DS68)</f>
        <v>0</v>
      </c>
      <c r="DT64" s="151">
        <f>SUM(DT66:DT68)</f>
        <v>0</v>
      </c>
      <c r="DU64" s="175">
        <f t="shared" si="444"/>
        <v>0.16</v>
      </c>
      <c r="DV64" s="176">
        <f>SUM(DV66:DV69)</f>
        <v>0.16</v>
      </c>
      <c r="DW64" s="177">
        <f>SUM(DW66:DW69)</f>
        <v>-3.1619999999999999</v>
      </c>
      <c r="DX64" s="178">
        <f>SUM(DX66:DX69)</f>
        <v>0</v>
      </c>
      <c r="DY64" s="175">
        <f t="shared" ref="DY64" si="475">SUM(DZ64,EB64)</f>
        <v>0</v>
      </c>
      <c r="DZ64" s="176">
        <f>SUM(DZ66:DZ68)</f>
        <v>0</v>
      </c>
      <c r="EA64" s="177">
        <f>SUM(EA66:EA68)</f>
        <v>0</v>
      </c>
      <c r="EB64" s="178">
        <f>SUM(EB66:EB68)</f>
        <v>0</v>
      </c>
      <c r="EC64" s="148">
        <f t="shared" si="446"/>
        <v>219.71100000000001</v>
      </c>
      <c r="ED64" s="149">
        <f>SUM(ED66:ED69)</f>
        <v>217.53100000000001</v>
      </c>
      <c r="EE64" s="150">
        <f>SUM(EE66:EE69)</f>
        <v>135.34599999999998</v>
      </c>
      <c r="EF64" s="151">
        <f>SUM(EF66:EF69)</f>
        <v>2.1800000000000002</v>
      </c>
      <c r="EG64" s="148">
        <f t="shared" si="450"/>
        <v>0.57399999999999995</v>
      </c>
      <c r="EH64" s="149">
        <f>SUM(EH66:EH68)</f>
        <v>0.57399999999999995</v>
      </c>
      <c r="EI64" s="150">
        <f>SUM(EI66:EI68)</f>
        <v>0</v>
      </c>
      <c r="EJ64" s="151">
        <f>SUM(EJ66:EJ68)</f>
        <v>0</v>
      </c>
      <c r="EK64" s="155">
        <f t="shared" si="0"/>
        <v>20.073999999999984</v>
      </c>
      <c r="EL64" s="155">
        <f t="shared" si="1"/>
        <v>15.757000000000005</v>
      </c>
      <c r="EM64" s="148">
        <f t="shared" si="454"/>
        <v>235.46800000000002</v>
      </c>
      <c r="EN64" s="149">
        <f>SUM(EN66:EN69)</f>
        <v>233.46800000000002</v>
      </c>
      <c r="EO64" s="150">
        <f>SUM(EO66:EO69)</f>
        <v>163.41</v>
      </c>
      <c r="EP64" s="151">
        <f>SUM(EP66:EP69)</f>
        <v>2</v>
      </c>
      <c r="EQ64" s="148">
        <f t="shared" si="455"/>
        <v>8.2880000000000003</v>
      </c>
      <c r="ER64" s="149">
        <f>SUM(ER66:ER68)</f>
        <v>8.2880000000000003</v>
      </c>
      <c r="ES64" s="150">
        <f>SUM(ES66:ES68)</f>
        <v>8.01</v>
      </c>
      <c r="ET64" s="151">
        <f>SUM(ET66:ET68)</f>
        <v>0</v>
      </c>
    </row>
    <row r="65" spans="1:150" ht="17.399999999999999" customHeight="1" x14ac:dyDescent="0.3">
      <c r="A65" s="50"/>
      <c r="B65" s="6" t="s">
        <v>2</v>
      </c>
      <c r="C65" s="51"/>
      <c r="D65" s="94"/>
      <c r="E65" s="105"/>
      <c r="F65" s="106"/>
      <c r="G65" s="107"/>
      <c r="H65" s="108"/>
      <c r="I65" s="105"/>
      <c r="J65" s="106"/>
      <c r="K65" s="107"/>
      <c r="L65" s="108"/>
      <c r="M65" s="105"/>
      <c r="N65" s="106"/>
      <c r="O65" s="107"/>
      <c r="P65" s="108"/>
      <c r="Q65" s="105"/>
      <c r="R65" s="106"/>
      <c r="S65" s="107"/>
      <c r="T65" s="108"/>
      <c r="U65" s="105"/>
      <c r="V65" s="106"/>
      <c r="W65" s="107"/>
      <c r="X65" s="108"/>
      <c r="Y65" s="105"/>
      <c r="Z65" s="106"/>
      <c r="AA65" s="107"/>
      <c r="AB65" s="108"/>
      <c r="AC65" s="105"/>
      <c r="AD65" s="106"/>
      <c r="AE65" s="107"/>
      <c r="AF65" s="108"/>
      <c r="AG65" s="105"/>
      <c r="AH65" s="106"/>
      <c r="AI65" s="107"/>
      <c r="AJ65" s="108"/>
      <c r="AK65" s="105"/>
      <c r="AL65" s="106"/>
      <c r="AM65" s="107"/>
      <c r="AN65" s="108"/>
      <c r="AO65" s="105"/>
      <c r="AP65" s="106"/>
      <c r="AQ65" s="107"/>
      <c r="AR65" s="108"/>
      <c r="AS65" s="105"/>
      <c r="AT65" s="106"/>
      <c r="AU65" s="107"/>
      <c r="AV65" s="108"/>
      <c r="AW65" s="105"/>
      <c r="AX65" s="106"/>
      <c r="AY65" s="107"/>
      <c r="AZ65" s="108"/>
      <c r="BA65" s="105"/>
      <c r="BB65" s="106"/>
      <c r="BC65" s="107"/>
      <c r="BD65" s="108"/>
      <c r="BE65" s="105"/>
      <c r="BF65" s="106"/>
      <c r="BG65" s="107"/>
      <c r="BH65" s="108"/>
      <c r="BI65" s="105"/>
      <c r="BJ65" s="106"/>
      <c r="BK65" s="107"/>
      <c r="BL65" s="108"/>
      <c r="BM65" s="105"/>
      <c r="BN65" s="106"/>
      <c r="BO65" s="107"/>
      <c r="BP65" s="108"/>
      <c r="BQ65" s="105"/>
      <c r="BR65" s="106"/>
      <c r="BS65" s="107"/>
      <c r="BT65" s="108"/>
      <c r="BU65" s="105"/>
      <c r="BV65" s="106"/>
      <c r="BW65" s="107"/>
      <c r="BX65" s="108"/>
      <c r="BY65" s="164"/>
      <c r="BZ65" s="147"/>
      <c r="CA65" s="161"/>
      <c r="CB65" s="162"/>
      <c r="CC65" s="164"/>
      <c r="CD65" s="147"/>
      <c r="CE65" s="161"/>
      <c r="CF65" s="162"/>
      <c r="CG65" s="105"/>
      <c r="CH65" s="106"/>
      <c r="CI65" s="107"/>
      <c r="CJ65" s="108"/>
      <c r="CK65" s="105"/>
      <c r="CL65" s="106"/>
      <c r="CM65" s="107"/>
      <c r="CN65" s="108"/>
      <c r="CO65" s="164"/>
      <c r="CP65" s="147"/>
      <c r="CQ65" s="161"/>
      <c r="CR65" s="162"/>
      <c r="CS65" s="164"/>
      <c r="CT65" s="147"/>
      <c r="CU65" s="161"/>
      <c r="CV65" s="162"/>
      <c r="CW65" s="105"/>
      <c r="CX65" s="106"/>
      <c r="CY65" s="107"/>
      <c r="CZ65" s="108"/>
      <c r="DA65" s="105"/>
      <c r="DB65" s="106"/>
      <c r="DC65" s="107"/>
      <c r="DD65" s="108"/>
      <c r="DE65" s="164"/>
      <c r="DF65" s="147"/>
      <c r="DG65" s="161"/>
      <c r="DH65" s="162"/>
      <c r="DI65" s="164"/>
      <c r="DJ65" s="147"/>
      <c r="DK65" s="161"/>
      <c r="DL65" s="162"/>
      <c r="DM65" s="105"/>
      <c r="DN65" s="106"/>
      <c r="DO65" s="107"/>
      <c r="DP65" s="108"/>
      <c r="DQ65" s="105"/>
      <c r="DR65" s="106"/>
      <c r="DS65" s="107"/>
      <c r="DT65" s="108"/>
      <c r="DU65" s="164"/>
      <c r="DV65" s="147"/>
      <c r="DW65" s="161"/>
      <c r="DX65" s="162"/>
      <c r="DY65" s="164"/>
      <c r="DZ65" s="147"/>
      <c r="EA65" s="161"/>
      <c r="EB65" s="162"/>
      <c r="EC65" s="105"/>
      <c r="ED65" s="106"/>
      <c r="EE65" s="107"/>
      <c r="EF65" s="108"/>
      <c r="EG65" s="105"/>
      <c r="EH65" s="106"/>
      <c r="EI65" s="107"/>
      <c r="EJ65" s="108"/>
      <c r="EK65" s="153">
        <f t="shared" si="0"/>
        <v>0</v>
      </c>
      <c r="EL65" s="153">
        <f t="shared" si="1"/>
        <v>0</v>
      </c>
      <c r="EM65" s="105"/>
      <c r="EN65" s="106"/>
      <c r="EO65" s="107"/>
      <c r="EP65" s="108"/>
      <c r="EQ65" s="105"/>
      <c r="ER65" s="106"/>
      <c r="ES65" s="107"/>
      <c r="ET65" s="108"/>
    </row>
    <row r="66" spans="1:150" s="4" customFormat="1" ht="21.65" customHeight="1" x14ac:dyDescent="0.25">
      <c r="A66" s="704" t="s">
        <v>26</v>
      </c>
      <c r="B66" s="702" t="s">
        <v>42</v>
      </c>
      <c r="C66" s="48" t="s">
        <v>60</v>
      </c>
      <c r="D66" s="93" t="s">
        <v>37</v>
      </c>
      <c r="E66" s="105">
        <f>SUM(F66,H66)</f>
        <v>189.28000000000003</v>
      </c>
      <c r="F66" s="106">
        <f>177.8+9.3</f>
        <v>187.10000000000002</v>
      </c>
      <c r="G66" s="107">
        <f>134.38+9.17-0.6</f>
        <v>142.94999999999999</v>
      </c>
      <c r="H66" s="108">
        <v>2.1800000000000002</v>
      </c>
      <c r="I66" s="105">
        <f>SUM(J66,L66)</f>
        <v>0</v>
      </c>
      <c r="J66" s="106"/>
      <c r="K66" s="107"/>
      <c r="L66" s="108"/>
      <c r="M66" s="105">
        <f>SUM(N66,P66)</f>
        <v>0</v>
      </c>
      <c r="N66" s="106"/>
      <c r="O66" s="107"/>
      <c r="P66" s="108"/>
      <c r="Q66" s="105">
        <f>SUM(R66,T66)</f>
        <v>0</v>
      </c>
      <c r="R66" s="106"/>
      <c r="S66" s="107"/>
      <c r="T66" s="108"/>
      <c r="U66" s="105">
        <f t="shared" ref="U66" si="476">SUM(V66,X66)</f>
        <v>189.28000000000003</v>
      </c>
      <c r="V66" s="106">
        <f t="shared" ref="V66" si="477">F66+N66</f>
        <v>187.10000000000002</v>
      </c>
      <c r="W66" s="107">
        <f t="shared" ref="W66" si="478">G66+O66</f>
        <v>142.94999999999999</v>
      </c>
      <c r="X66" s="108">
        <f t="shared" ref="X66" si="479">H66+P66</f>
        <v>2.1800000000000002</v>
      </c>
      <c r="Y66" s="105">
        <f t="shared" ref="Y66" si="480">SUM(Z66,AB66)</f>
        <v>0</v>
      </c>
      <c r="Z66" s="106">
        <f t="shared" ref="Z66" si="481">J66+R66</f>
        <v>0</v>
      </c>
      <c r="AA66" s="107">
        <f t="shared" ref="AA66" si="482">K66+S66</f>
        <v>0</v>
      </c>
      <c r="AB66" s="108">
        <f t="shared" ref="AB66" si="483">L66+T66</f>
        <v>0</v>
      </c>
      <c r="AC66" s="105">
        <f>SUM(AD66,AF66)</f>
        <v>0.36</v>
      </c>
      <c r="AD66" s="106">
        <v>0.36</v>
      </c>
      <c r="AE66" s="107"/>
      <c r="AF66" s="108"/>
      <c r="AG66" s="105">
        <f>SUM(AH66,AJ66)</f>
        <v>0</v>
      </c>
      <c r="AH66" s="106"/>
      <c r="AI66" s="107"/>
      <c r="AJ66" s="108"/>
      <c r="AK66" s="105">
        <f t="shared" ref="AK66:AK68" si="484">SUM(AL66,AN66)</f>
        <v>189.64000000000004</v>
      </c>
      <c r="AL66" s="106">
        <f t="shared" ref="AL66:AL68" si="485">V66+AD66</f>
        <v>187.46000000000004</v>
      </c>
      <c r="AM66" s="107">
        <f t="shared" ref="AM66:AM68" si="486">W66+AE66</f>
        <v>142.94999999999999</v>
      </c>
      <c r="AN66" s="108">
        <f t="shared" ref="AN66:AN68" si="487">X66+AF66</f>
        <v>2.1800000000000002</v>
      </c>
      <c r="AO66" s="105">
        <f t="shared" ref="AO66:AO68" si="488">SUM(AP66,AR66)</f>
        <v>0</v>
      </c>
      <c r="AP66" s="106">
        <f t="shared" ref="AP66:AP68" si="489">Z66+AH66</f>
        <v>0</v>
      </c>
      <c r="AQ66" s="107">
        <f t="shared" ref="AQ66:AQ68" si="490">AA66+AI66</f>
        <v>0</v>
      </c>
      <c r="AR66" s="108">
        <f t="shared" ref="AR66:AR68" si="491">AB66+AJ66</f>
        <v>0</v>
      </c>
      <c r="AS66" s="105">
        <f>SUM(AT66,AV66)</f>
        <v>-4.4420000000000002</v>
      </c>
      <c r="AT66" s="106">
        <f>-4.506+0.064</f>
        <v>-4.4420000000000002</v>
      </c>
      <c r="AU66" s="107">
        <v>-4.4420000000000002</v>
      </c>
      <c r="AV66" s="108"/>
      <c r="AW66" s="105">
        <f>SUM(AX66,AZ66)</f>
        <v>0</v>
      </c>
      <c r="AX66" s="106"/>
      <c r="AY66" s="107"/>
      <c r="AZ66" s="108"/>
      <c r="BA66" s="105">
        <f t="shared" ref="BA66:BA68" si="492">SUM(BB66,BD66)</f>
        <v>185.19800000000004</v>
      </c>
      <c r="BB66" s="106">
        <f t="shared" ref="BB66" si="493">AL66+AT66</f>
        <v>183.01800000000003</v>
      </c>
      <c r="BC66" s="107">
        <f t="shared" ref="BC66:BC68" si="494">AM66+AU66</f>
        <v>138.50799999999998</v>
      </c>
      <c r="BD66" s="108">
        <f t="shared" ref="BD66:BD68" si="495">AN66+AV66</f>
        <v>2.1800000000000002</v>
      </c>
      <c r="BE66" s="105">
        <f t="shared" ref="BE66:BE68" si="496">SUM(BF66,BH66)</f>
        <v>0</v>
      </c>
      <c r="BF66" s="106">
        <f t="shared" ref="BF66:BF68" si="497">AP66+AX66</f>
        <v>0</v>
      </c>
      <c r="BG66" s="107">
        <f t="shared" ref="BG66:BG68" si="498">AQ66+AY66</f>
        <v>0</v>
      </c>
      <c r="BH66" s="108">
        <f t="shared" ref="BH66:BH68" si="499">AR66+AZ66</f>
        <v>0</v>
      </c>
      <c r="BI66" s="105">
        <f>SUM(BJ66,BL66)</f>
        <v>0</v>
      </c>
      <c r="BJ66" s="106"/>
      <c r="BK66" s="107"/>
      <c r="BL66" s="108"/>
      <c r="BM66" s="105">
        <f>SUM(BN66,BP66)</f>
        <v>0</v>
      </c>
      <c r="BN66" s="106"/>
      <c r="BO66" s="107"/>
      <c r="BP66" s="108"/>
      <c r="BQ66" s="105">
        <f t="shared" ref="BQ66:BQ68" si="500">SUM(BR66,BT66)</f>
        <v>185.19800000000004</v>
      </c>
      <c r="BR66" s="106">
        <f t="shared" ref="BR66" si="501">BB66+BJ66</f>
        <v>183.01800000000003</v>
      </c>
      <c r="BS66" s="107">
        <f t="shared" ref="BS66:BS68" si="502">BC66+BK66</f>
        <v>138.50799999999998</v>
      </c>
      <c r="BT66" s="108">
        <f t="shared" ref="BT66:BT68" si="503">BD66+BL66</f>
        <v>2.1800000000000002</v>
      </c>
      <c r="BU66" s="105">
        <f t="shared" ref="BU66:BU68" si="504">SUM(BV66,BX66)</f>
        <v>0</v>
      </c>
      <c r="BV66" s="106">
        <f t="shared" ref="BV66:BV68" si="505">BF66+BN66</f>
        <v>0</v>
      </c>
      <c r="BW66" s="107">
        <f t="shared" ref="BW66:BW68" si="506">BG66+BO66</f>
        <v>0</v>
      </c>
      <c r="BX66" s="108">
        <f t="shared" ref="BX66:BX68" si="507">BH66+BP66</f>
        <v>0</v>
      </c>
      <c r="BY66" s="164">
        <f>SUM(BZ66,CB66)</f>
        <v>0</v>
      </c>
      <c r="BZ66" s="147"/>
      <c r="CA66" s="161"/>
      <c r="CB66" s="162"/>
      <c r="CC66" s="164">
        <f>SUM(CD66,CF66)</f>
        <v>0</v>
      </c>
      <c r="CD66" s="147"/>
      <c r="CE66" s="161"/>
      <c r="CF66" s="162"/>
      <c r="CG66" s="105">
        <f t="shared" ref="CG66:CG69" si="508">SUM(CH66,CJ66)</f>
        <v>185.19800000000004</v>
      </c>
      <c r="CH66" s="106">
        <f t="shared" ref="CH66" si="509">BR66+BZ66</f>
        <v>183.01800000000003</v>
      </c>
      <c r="CI66" s="107">
        <f t="shared" ref="CI66:CI68" si="510">BS66+CA66</f>
        <v>138.50799999999998</v>
      </c>
      <c r="CJ66" s="108">
        <f t="shared" ref="CJ66:CJ68" si="511">BT66+CB66</f>
        <v>2.1800000000000002</v>
      </c>
      <c r="CK66" s="105">
        <f t="shared" ref="CK66:CK68" si="512">SUM(CL66,CN66)</f>
        <v>0</v>
      </c>
      <c r="CL66" s="106">
        <f t="shared" ref="CL66:CL68" si="513">BV66+CD66</f>
        <v>0</v>
      </c>
      <c r="CM66" s="107">
        <f t="shared" ref="CM66:CM68" si="514">BW66+CE66</f>
        <v>0</v>
      </c>
      <c r="CN66" s="108">
        <f t="shared" ref="CN66:CN68" si="515">BX66+CF66</f>
        <v>0</v>
      </c>
      <c r="CO66" s="164">
        <f>SUM(CP66,CR66)</f>
        <v>0</v>
      </c>
      <c r="CP66" s="147"/>
      <c r="CQ66" s="161"/>
      <c r="CR66" s="162"/>
      <c r="CS66" s="164">
        <f>SUM(CT66,CV66)</f>
        <v>0</v>
      </c>
      <c r="CT66" s="147"/>
      <c r="CU66" s="161"/>
      <c r="CV66" s="162"/>
      <c r="CW66" s="105">
        <f t="shared" ref="CW66:CW69" si="516">SUM(CX66,CZ66)</f>
        <v>185.19800000000004</v>
      </c>
      <c r="CX66" s="106">
        <f t="shared" ref="CX66" si="517">CH66+CP66</f>
        <v>183.01800000000003</v>
      </c>
      <c r="CY66" s="107">
        <f t="shared" ref="CY66:CY68" si="518">CI66+CQ66</f>
        <v>138.50799999999998</v>
      </c>
      <c r="CZ66" s="108">
        <f t="shared" ref="CZ66:CZ68" si="519">CJ66+CR66</f>
        <v>2.1800000000000002</v>
      </c>
      <c r="DA66" s="105">
        <f t="shared" ref="DA66:DA68" si="520">SUM(DB66,DD66)</f>
        <v>0</v>
      </c>
      <c r="DB66" s="106">
        <f t="shared" ref="DB66:DB68" si="521">CL66+CT66</f>
        <v>0</v>
      </c>
      <c r="DC66" s="107">
        <f t="shared" ref="DC66:DC68" si="522">CM66+CU66</f>
        <v>0</v>
      </c>
      <c r="DD66" s="108">
        <f t="shared" ref="DD66:DD68" si="523">CN66+CV66</f>
        <v>0</v>
      </c>
      <c r="DE66" s="164">
        <f>SUM(DF66,DH66)</f>
        <v>0</v>
      </c>
      <c r="DF66" s="147"/>
      <c r="DG66" s="161"/>
      <c r="DH66" s="162"/>
      <c r="DI66" s="164">
        <f>SUM(DJ66,DL66)</f>
        <v>0</v>
      </c>
      <c r="DJ66" s="147"/>
      <c r="DK66" s="161"/>
      <c r="DL66" s="162"/>
      <c r="DM66" s="105">
        <f t="shared" ref="DM66:DM69" si="524">SUM(DN66,DP66)</f>
        <v>185.19800000000004</v>
      </c>
      <c r="DN66" s="106">
        <f t="shared" ref="DN66" si="525">CX66+DF66</f>
        <v>183.01800000000003</v>
      </c>
      <c r="DO66" s="107">
        <f t="shared" ref="DO66:DO68" si="526">CY66+DG66</f>
        <v>138.50799999999998</v>
      </c>
      <c r="DP66" s="108">
        <f t="shared" ref="DP66:DP68" si="527">CZ66+DH66</f>
        <v>2.1800000000000002</v>
      </c>
      <c r="DQ66" s="105">
        <f t="shared" ref="DQ66:DQ68" si="528">SUM(DR66,DT66)</f>
        <v>0</v>
      </c>
      <c r="DR66" s="106">
        <f t="shared" ref="DR66:DR68" si="529">DB66+DJ66</f>
        <v>0</v>
      </c>
      <c r="DS66" s="107">
        <f t="shared" ref="DS66:DS68" si="530">DC66+DK66</f>
        <v>0</v>
      </c>
      <c r="DT66" s="108">
        <f t="shared" ref="DT66:DT68" si="531">DD66+DL66</f>
        <v>0</v>
      </c>
      <c r="DU66" s="164">
        <f>SUM(DV66,DX66)</f>
        <v>0.16</v>
      </c>
      <c r="DV66" s="147">
        <v>0.16</v>
      </c>
      <c r="DW66" s="161">
        <f>-3.32+0.158</f>
        <v>-3.1619999999999999</v>
      </c>
      <c r="DX66" s="162"/>
      <c r="DY66" s="164">
        <f>SUM(DZ66,EB66)</f>
        <v>0</v>
      </c>
      <c r="DZ66" s="147"/>
      <c r="EA66" s="161"/>
      <c r="EB66" s="162"/>
      <c r="EC66" s="105">
        <f t="shared" ref="EC66:EC69" si="532">SUM(ED66,EF66)</f>
        <v>185.35800000000003</v>
      </c>
      <c r="ED66" s="106">
        <f t="shared" ref="ED66" si="533">DN66+DV66</f>
        <v>183.17800000000003</v>
      </c>
      <c r="EE66" s="107">
        <f t="shared" ref="EE66:EE68" si="534">DO66+DW66</f>
        <v>135.34599999999998</v>
      </c>
      <c r="EF66" s="108">
        <f t="shared" ref="EF66:EF68" si="535">DP66+DX66</f>
        <v>2.1800000000000002</v>
      </c>
      <c r="EG66" s="105">
        <f t="shared" ref="EG66:EG68" si="536">SUM(EH66,EJ66)</f>
        <v>0</v>
      </c>
      <c r="EH66" s="106">
        <f t="shared" ref="EH66:EH68" si="537">DR66+DZ66</f>
        <v>0</v>
      </c>
      <c r="EI66" s="107">
        <f t="shared" ref="EI66:EI68" si="538">DS66+EA66</f>
        <v>0</v>
      </c>
      <c r="EJ66" s="108">
        <f t="shared" ref="EJ66:EJ68" si="539">DT66+EB66</f>
        <v>0</v>
      </c>
      <c r="EK66" s="163">
        <f t="shared" si="0"/>
        <v>22.71999999999997</v>
      </c>
      <c r="EL66" s="163">
        <f t="shared" si="1"/>
        <v>26.641999999999967</v>
      </c>
      <c r="EM66" s="105">
        <f>SUM(EN66,EP66)</f>
        <v>212</v>
      </c>
      <c r="EN66" s="106">
        <f>ER66+201.07+0.8</f>
        <v>210</v>
      </c>
      <c r="EO66" s="107">
        <f>ES66+155.9-0.5</f>
        <v>163.41</v>
      </c>
      <c r="EP66" s="108">
        <v>2</v>
      </c>
      <c r="EQ66" s="105">
        <f>SUM(ER66,ET66)</f>
        <v>8.1300000000000008</v>
      </c>
      <c r="ER66" s="106">
        <v>8.1300000000000008</v>
      </c>
      <c r="ES66" s="107">
        <v>8.01</v>
      </c>
      <c r="ET66" s="108"/>
    </row>
    <row r="67" spans="1:150" s="4" customFormat="1" ht="21.65" customHeight="1" x14ac:dyDescent="0.25">
      <c r="A67" s="716"/>
      <c r="B67" s="719"/>
      <c r="C67" s="48" t="s">
        <v>61</v>
      </c>
      <c r="D67" s="139" t="s">
        <v>52</v>
      </c>
      <c r="E67" s="105">
        <f>SUM(F67,H67)</f>
        <v>24.574000000000002</v>
      </c>
      <c r="F67" s="106">
        <f>24+J67</f>
        <v>24.574000000000002</v>
      </c>
      <c r="G67" s="107"/>
      <c r="H67" s="108"/>
      <c r="I67" s="105">
        <f>SUM(J67,L67)</f>
        <v>0.57399999999999995</v>
      </c>
      <c r="J67" s="106">
        <v>0.57399999999999995</v>
      </c>
      <c r="K67" s="107"/>
      <c r="L67" s="108"/>
      <c r="M67" s="105">
        <f>SUM(N67,P67)</f>
        <v>0</v>
      </c>
      <c r="N67" s="106"/>
      <c r="O67" s="107"/>
      <c r="P67" s="108"/>
      <c r="Q67" s="105">
        <f>SUM(R67,T67)</f>
        <v>0</v>
      </c>
      <c r="R67" s="106"/>
      <c r="S67" s="107"/>
      <c r="T67" s="108"/>
      <c r="U67" s="105">
        <f t="shared" ref="U67:U68" si="540">SUM(V67,X67)</f>
        <v>24.574000000000002</v>
      </c>
      <c r="V67" s="106">
        <f t="shared" ref="V67:V68" si="541">F67+N67</f>
        <v>24.574000000000002</v>
      </c>
      <c r="W67" s="107">
        <f t="shared" ref="W67:W68" si="542">G67+O67</f>
        <v>0</v>
      </c>
      <c r="X67" s="108">
        <f t="shared" ref="X67:X68" si="543">H67+P67</f>
        <v>0</v>
      </c>
      <c r="Y67" s="105">
        <f t="shared" ref="Y67:Y68" si="544">SUM(Z67,AB67)</f>
        <v>0.57399999999999995</v>
      </c>
      <c r="Z67" s="106">
        <f t="shared" ref="Z67:Z68" si="545">J67+R67</f>
        <v>0.57399999999999995</v>
      </c>
      <c r="AA67" s="107">
        <f t="shared" ref="AA67:AA68" si="546">K67+S67</f>
        <v>0</v>
      </c>
      <c r="AB67" s="108">
        <f t="shared" ref="AB67:AB68" si="547">L67+T67</f>
        <v>0</v>
      </c>
      <c r="AC67" s="105">
        <f>SUM(AD67,AF67)</f>
        <v>0.11</v>
      </c>
      <c r="AD67" s="106">
        <v>0.11</v>
      </c>
      <c r="AE67" s="107"/>
      <c r="AF67" s="108"/>
      <c r="AG67" s="105">
        <f>SUM(AH67,AJ67)</f>
        <v>0</v>
      </c>
      <c r="AH67" s="106"/>
      <c r="AI67" s="107"/>
      <c r="AJ67" s="108"/>
      <c r="AK67" s="105">
        <f t="shared" si="484"/>
        <v>24.684000000000001</v>
      </c>
      <c r="AL67" s="106">
        <f>V67+AD67</f>
        <v>24.684000000000001</v>
      </c>
      <c r="AM67" s="107">
        <f t="shared" si="486"/>
        <v>0</v>
      </c>
      <c r="AN67" s="108">
        <f t="shared" si="487"/>
        <v>0</v>
      </c>
      <c r="AO67" s="105">
        <f t="shared" si="488"/>
        <v>0.57399999999999995</v>
      </c>
      <c r="AP67" s="106">
        <f t="shared" si="489"/>
        <v>0.57399999999999995</v>
      </c>
      <c r="AQ67" s="107">
        <f t="shared" si="490"/>
        <v>0</v>
      </c>
      <c r="AR67" s="108">
        <f t="shared" si="491"/>
        <v>0</v>
      </c>
      <c r="AS67" s="105">
        <f>SUM(AT67,AV67)</f>
        <v>0</v>
      </c>
      <c r="AT67" s="106"/>
      <c r="AU67" s="107"/>
      <c r="AV67" s="108"/>
      <c r="AW67" s="105">
        <f>SUM(AX67,AZ67)</f>
        <v>0</v>
      </c>
      <c r="AX67" s="106"/>
      <c r="AY67" s="107"/>
      <c r="AZ67" s="108"/>
      <c r="BA67" s="105">
        <f t="shared" si="492"/>
        <v>24.684000000000001</v>
      </c>
      <c r="BB67" s="106">
        <f>AL67+AT67</f>
        <v>24.684000000000001</v>
      </c>
      <c r="BC67" s="107">
        <f t="shared" si="494"/>
        <v>0</v>
      </c>
      <c r="BD67" s="108">
        <f t="shared" si="495"/>
        <v>0</v>
      </c>
      <c r="BE67" s="105">
        <f t="shared" si="496"/>
        <v>0.57399999999999995</v>
      </c>
      <c r="BF67" s="106">
        <f t="shared" si="497"/>
        <v>0.57399999999999995</v>
      </c>
      <c r="BG67" s="107">
        <f t="shared" si="498"/>
        <v>0</v>
      </c>
      <c r="BH67" s="108">
        <f t="shared" si="499"/>
        <v>0</v>
      </c>
      <c r="BI67" s="105">
        <f>SUM(BJ67,BL67)</f>
        <v>0</v>
      </c>
      <c r="BJ67" s="106"/>
      <c r="BK67" s="107"/>
      <c r="BL67" s="108"/>
      <c r="BM67" s="105">
        <f>SUM(BN67,BP67)</f>
        <v>0</v>
      </c>
      <c r="BN67" s="106"/>
      <c r="BO67" s="107"/>
      <c r="BP67" s="108"/>
      <c r="BQ67" s="105">
        <f t="shared" si="500"/>
        <v>24.684000000000001</v>
      </c>
      <c r="BR67" s="106">
        <f>BB67+BJ67</f>
        <v>24.684000000000001</v>
      </c>
      <c r="BS67" s="107">
        <f t="shared" si="502"/>
        <v>0</v>
      </c>
      <c r="BT67" s="108">
        <f t="shared" si="503"/>
        <v>0</v>
      </c>
      <c r="BU67" s="105">
        <f t="shared" si="504"/>
        <v>0.57399999999999995</v>
      </c>
      <c r="BV67" s="106">
        <f t="shared" si="505"/>
        <v>0.57399999999999995</v>
      </c>
      <c r="BW67" s="107">
        <f t="shared" si="506"/>
        <v>0</v>
      </c>
      <c r="BX67" s="108">
        <f t="shared" si="507"/>
        <v>0</v>
      </c>
      <c r="BY67" s="164">
        <f>SUM(BZ67,CB67)</f>
        <v>0</v>
      </c>
      <c r="BZ67" s="147"/>
      <c r="CA67" s="161"/>
      <c r="CB67" s="162"/>
      <c r="CC67" s="164">
        <f>SUM(CD67,CF67)</f>
        <v>0</v>
      </c>
      <c r="CD67" s="147"/>
      <c r="CE67" s="161"/>
      <c r="CF67" s="162"/>
      <c r="CG67" s="105">
        <f t="shared" si="508"/>
        <v>24.684000000000001</v>
      </c>
      <c r="CH67" s="106">
        <f>BR67+BZ67</f>
        <v>24.684000000000001</v>
      </c>
      <c r="CI67" s="107">
        <f t="shared" si="510"/>
        <v>0</v>
      </c>
      <c r="CJ67" s="108">
        <f t="shared" si="511"/>
        <v>0</v>
      </c>
      <c r="CK67" s="105">
        <f t="shared" si="512"/>
        <v>0.57399999999999995</v>
      </c>
      <c r="CL67" s="106">
        <f t="shared" si="513"/>
        <v>0.57399999999999995</v>
      </c>
      <c r="CM67" s="107">
        <f t="shared" si="514"/>
        <v>0</v>
      </c>
      <c r="CN67" s="108">
        <f t="shared" si="515"/>
        <v>0</v>
      </c>
      <c r="CO67" s="164">
        <f>SUM(CP67,CR67)</f>
        <v>0</v>
      </c>
      <c r="CP67" s="147"/>
      <c r="CQ67" s="161"/>
      <c r="CR67" s="162"/>
      <c r="CS67" s="164">
        <f>SUM(CT67,CV67)</f>
        <v>0</v>
      </c>
      <c r="CT67" s="147"/>
      <c r="CU67" s="161"/>
      <c r="CV67" s="162"/>
      <c r="CW67" s="105">
        <f t="shared" si="516"/>
        <v>24.684000000000001</v>
      </c>
      <c r="CX67" s="106">
        <f>CH67+CP67</f>
        <v>24.684000000000001</v>
      </c>
      <c r="CY67" s="107">
        <f t="shared" si="518"/>
        <v>0</v>
      </c>
      <c r="CZ67" s="108">
        <f t="shared" si="519"/>
        <v>0</v>
      </c>
      <c r="DA67" s="105">
        <f t="shared" si="520"/>
        <v>0.57399999999999995</v>
      </c>
      <c r="DB67" s="106">
        <f t="shared" si="521"/>
        <v>0.57399999999999995</v>
      </c>
      <c r="DC67" s="107">
        <f t="shared" si="522"/>
        <v>0</v>
      </c>
      <c r="DD67" s="108">
        <f t="shared" si="523"/>
        <v>0</v>
      </c>
      <c r="DE67" s="164">
        <f>SUM(DF67,DH67)</f>
        <v>0</v>
      </c>
      <c r="DF67" s="147"/>
      <c r="DG67" s="161"/>
      <c r="DH67" s="162"/>
      <c r="DI67" s="164">
        <f>SUM(DJ67,DL67)</f>
        <v>0</v>
      </c>
      <c r="DJ67" s="147"/>
      <c r="DK67" s="161"/>
      <c r="DL67" s="162"/>
      <c r="DM67" s="105">
        <f t="shared" si="524"/>
        <v>24.684000000000001</v>
      </c>
      <c r="DN67" s="106">
        <f>CX67+DF67</f>
        <v>24.684000000000001</v>
      </c>
      <c r="DO67" s="107">
        <f t="shared" si="526"/>
        <v>0</v>
      </c>
      <c r="DP67" s="108">
        <f t="shared" si="527"/>
        <v>0</v>
      </c>
      <c r="DQ67" s="105">
        <f t="shared" si="528"/>
        <v>0.57399999999999995</v>
      </c>
      <c r="DR67" s="106">
        <f t="shared" si="529"/>
        <v>0.57399999999999995</v>
      </c>
      <c r="DS67" s="107">
        <f t="shared" si="530"/>
        <v>0</v>
      </c>
      <c r="DT67" s="108">
        <f t="shared" si="531"/>
        <v>0</v>
      </c>
      <c r="DU67" s="164">
        <f>SUM(DV67,DX67)</f>
        <v>0</v>
      </c>
      <c r="DV67" s="147"/>
      <c r="DW67" s="161"/>
      <c r="DX67" s="162"/>
      <c r="DY67" s="164">
        <f>SUM(DZ67,EB67)</f>
        <v>0</v>
      </c>
      <c r="DZ67" s="147"/>
      <c r="EA67" s="161"/>
      <c r="EB67" s="162"/>
      <c r="EC67" s="105">
        <f t="shared" si="532"/>
        <v>24.684000000000001</v>
      </c>
      <c r="ED67" s="106">
        <f>DN67+DV67</f>
        <v>24.684000000000001</v>
      </c>
      <c r="EE67" s="107">
        <f t="shared" si="534"/>
        <v>0</v>
      </c>
      <c r="EF67" s="108">
        <f t="shared" si="535"/>
        <v>0</v>
      </c>
      <c r="EG67" s="105">
        <f t="shared" si="536"/>
        <v>0.57399999999999995</v>
      </c>
      <c r="EH67" s="106">
        <f t="shared" si="537"/>
        <v>0.57399999999999995</v>
      </c>
      <c r="EI67" s="107">
        <f t="shared" si="538"/>
        <v>0</v>
      </c>
      <c r="EJ67" s="108">
        <f t="shared" si="539"/>
        <v>0</v>
      </c>
      <c r="EK67" s="154">
        <f t="shared" si="0"/>
        <v>-2.4160000000000004</v>
      </c>
      <c r="EL67" s="154">
        <f t="shared" si="1"/>
        <v>-2.5259999999999998</v>
      </c>
      <c r="EM67" s="105">
        <f>SUM(EN67,EP67)</f>
        <v>22.158000000000001</v>
      </c>
      <c r="EN67" s="106">
        <f>ER67+22</f>
        <v>22.158000000000001</v>
      </c>
      <c r="EO67" s="107"/>
      <c r="EP67" s="108"/>
      <c r="EQ67" s="105">
        <f>SUM(ER67,ET67)</f>
        <v>0.158</v>
      </c>
      <c r="ER67" s="106">
        <v>0.158</v>
      </c>
      <c r="ES67" s="107"/>
      <c r="ET67" s="108"/>
    </row>
    <row r="68" spans="1:150" s="4" customFormat="1" ht="21.65" customHeight="1" x14ac:dyDescent="0.25">
      <c r="A68" s="42" t="s">
        <v>33</v>
      </c>
      <c r="B68" s="103" t="s">
        <v>47</v>
      </c>
      <c r="C68" s="48" t="s">
        <v>62</v>
      </c>
      <c r="D68" s="139" t="s">
        <v>37</v>
      </c>
      <c r="E68" s="105">
        <f>SUM(F68,H68)</f>
        <v>1.54</v>
      </c>
      <c r="F68" s="106">
        <v>1.54</v>
      </c>
      <c r="G68" s="107"/>
      <c r="H68" s="108"/>
      <c r="I68" s="105">
        <f>SUM(J68,L68)</f>
        <v>0</v>
      </c>
      <c r="J68" s="106"/>
      <c r="K68" s="107"/>
      <c r="L68" s="108"/>
      <c r="M68" s="105">
        <f>SUM(N68,P68)</f>
        <v>0</v>
      </c>
      <c r="N68" s="106"/>
      <c r="O68" s="107"/>
      <c r="P68" s="108"/>
      <c r="Q68" s="105">
        <f>SUM(R68,T68)</f>
        <v>0</v>
      </c>
      <c r="R68" s="106"/>
      <c r="S68" s="107"/>
      <c r="T68" s="108"/>
      <c r="U68" s="105">
        <f t="shared" si="540"/>
        <v>1.54</v>
      </c>
      <c r="V68" s="106">
        <f t="shared" si="541"/>
        <v>1.54</v>
      </c>
      <c r="W68" s="107">
        <f t="shared" si="542"/>
        <v>0</v>
      </c>
      <c r="X68" s="108">
        <f t="shared" si="543"/>
        <v>0</v>
      </c>
      <c r="Y68" s="105">
        <f t="shared" si="544"/>
        <v>0</v>
      </c>
      <c r="Z68" s="106">
        <f t="shared" si="545"/>
        <v>0</v>
      </c>
      <c r="AA68" s="107">
        <f t="shared" si="546"/>
        <v>0</v>
      </c>
      <c r="AB68" s="108">
        <f t="shared" si="547"/>
        <v>0</v>
      </c>
      <c r="AC68" s="105">
        <f>SUM(AD68,AF68)</f>
        <v>0</v>
      </c>
      <c r="AD68" s="106"/>
      <c r="AE68" s="107"/>
      <c r="AF68" s="108"/>
      <c r="AG68" s="105">
        <f>SUM(AH68,AJ68)</f>
        <v>0</v>
      </c>
      <c r="AH68" s="106"/>
      <c r="AI68" s="107"/>
      <c r="AJ68" s="108"/>
      <c r="AK68" s="105">
        <f t="shared" si="484"/>
        <v>1.54</v>
      </c>
      <c r="AL68" s="106">
        <f t="shared" si="485"/>
        <v>1.54</v>
      </c>
      <c r="AM68" s="107">
        <f t="shared" si="486"/>
        <v>0</v>
      </c>
      <c r="AN68" s="108">
        <f t="shared" si="487"/>
        <v>0</v>
      </c>
      <c r="AO68" s="105">
        <f t="shared" si="488"/>
        <v>0</v>
      </c>
      <c r="AP68" s="106">
        <f t="shared" si="489"/>
        <v>0</v>
      </c>
      <c r="AQ68" s="107">
        <f t="shared" si="490"/>
        <v>0</v>
      </c>
      <c r="AR68" s="108">
        <f t="shared" si="491"/>
        <v>0</v>
      </c>
      <c r="AS68" s="105">
        <f>SUM(AT68,AV68)</f>
        <v>0</v>
      </c>
      <c r="AT68" s="106"/>
      <c r="AU68" s="107"/>
      <c r="AV68" s="108"/>
      <c r="AW68" s="105">
        <f>SUM(AX68,AZ68)</f>
        <v>0</v>
      </c>
      <c r="AX68" s="106"/>
      <c r="AY68" s="107"/>
      <c r="AZ68" s="108"/>
      <c r="BA68" s="105">
        <f t="shared" si="492"/>
        <v>1.54</v>
      </c>
      <c r="BB68" s="106">
        <f t="shared" ref="BB68" si="548">AL68+AT68</f>
        <v>1.54</v>
      </c>
      <c r="BC68" s="107">
        <f t="shared" si="494"/>
        <v>0</v>
      </c>
      <c r="BD68" s="108">
        <f t="shared" si="495"/>
        <v>0</v>
      </c>
      <c r="BE68" s="105">
        <f t="shared" si="496"/>
        <v>0</v>
      </c>
      <c r="BF68" s="106">
        <f t="shared" si="497"/>
        <v>0</v>
      </c>
      <c r="BG68" s="107">
        <f t="shared" si="498"/>
        <v>0</v>
      </c>
      <c r="BH68" s="108">
        <f t="shared" si="499"/>
        <v>0</v>
      </c>
      <c r="BI68" s="105">
        <f>SUM(BJ68,BL68)</f>
        <v>0</v>
      </c>
      <c r="BJ68" s="106"/>
      <c r="BK68" s="107"/>
      <c r="BL68" s="108"/>
      <c r="BM68" s="105">
        <f>SUM(BN68,BP68)</f>
        <v>0</v>
      </c>
      <c r="BN68" s="106"/>
      <c r="BO68" s="107"/>
      <c r="BP68" s="108"/>
      <c r="BQ68" s="105">
        <f t="shared" si="500"/>
        <v>1.54</v>
      </c>
      <c r="BR68" s="106">
        <f t="shared" ref="BR68" si="549">BB68+BJ68</f>
        <v>1.54</v>
      </c>
      <c r="BS68" s="107">
        <f t="shared" si="502"/>
        <v>0</v>
      </c>
      <c r="BT68" s="108">
        <f t="shared" si="503"/>
        <v>0</v>
      </c>
      <c r="BU68" s="105">
        <f t="shared" si="504"/>
        <v>0</v>
      </c>
      <c r="BV68" s="106">
        <f t="shared" si="505"/>
        <v>0</v>
      </c>
      <c r="BW68" s="107">
        <f t="shared" si="506"/>
        <v>0</v>
      </c>
      <c r="BX68" s="108">
        <f t="shared" si="507"/>
        <v>0</v>
      </c>
      <c r="BY68" s="164">
        <f>SUM(BZ68,CB68)</f>
        <v>0</v>
      </c>
      <c r="BZ68" s="147"/>
      <c r="CA68" s="161"/>
      <c r="CB68" s="162"/>
      <c r="CC68" s="164">
        <f>SUM(CD68,CF68)</f>
        <v>0</v>
      </c>
      <c r="CD68" s="147"/>
      <c r="CE68" s="161"/>
      <c r="CF68" s="162"/>
      <c r="CG68" s="105">
        <f t="shared" si="508"/>
        <v>1.54</v>
      </c>
      <c r="CH68" s="106">
        <f t="shared" ref="CH68:CH69" si="550">BR68+BZ68</f>
        <v>1.54</v>
      </c>
      <c r="CI68" s="107">
        <f t="shared" si="510"/>
        <v>0</v>
      </c>
      <c r="CJ68" s="108">
        <f t="shared" si="511"/>
        <v>0</v>
      </c>
      <c r="CK68" s="105">
        <f t="shared" si="512"/>
        <v>0</v>
      </c>
      <c r="CL68" s="106">
        <f t="shared" si="513"/>
        <v>0</v>
      </c>
      <c r="CM68" s="107">
        <f t="shared" si="514"/>
        <v>0</v>
      </c>
      <c r="CN68" s="108">
        <f t="shared" si="515"/>
        <v>0</v>
      </c>
      <c r="CO68" s="164">
        <f>SUM(CP68,CR68)</f>
        <v>0</v>
      </c>
      <c r="CP68" s="147"/>
      <c r="CQ68" s="161"/>
      <c r="CR68" s="162"/>
      <c r="CS68" s="164">
        <f>SUM(CT68,CV68)</f>
        <v>0</v>
      </c>
      <c r="CT68" s="147"/>
      <c r="CU68" s="161"/>
      <c r="CV68" s="162"/>
      <c r="CW68" s="105">
        <f t="shared" si="516"/>
        <v>1.54</v>
      </c>
      <c r="CX68" s="106">
        <f t="shared" ref="CX68:CX69" si="551">CH68+CP68</f>
        <v>1.54</v>
      </c>
      <c r="CY68" s="107">
        <f t="shared" si="518"/>
        <v>0</v>
      </c>
      <c r="CZ68" s="108">
        <f t="shared" si="519"/>
        <v>0</v>
      </c>
      <c r="DA68" s="105">
        <f t="shared" si="520"/>
        <v>0</v>
      </c>
      <c r="DB68" s="106">
        <f t="shared" si="521"/>
        <v>0</v>
      </c>
      <c r="DC68" s="107">
        <f t="shared" si="522"/>
        <v>0</v>
      </c>
      <c r="DD68" s="108">
        <f t="shared" si="523"/>
        <v>0</v>
      </c>
      <c r="DE68" s="164">
        <f>SUM(DF68,DH68)</f>
        <v>0</v>
      </c>
      <c r="DF68" s="147"/>
      <c r="DG68" s="161"/>
      <c r="DH68" s="162"/>
      <c r="DI68" s="164">
        <f>SUM(DJ68,DL68)</f>
        <v>0</v>
      </c>
      <c r="DJ68" s="147"/>
      <c r="DK68" s="161"/>
      <c r="DL68" s="162"/>
      <c r="DM68" s="105">
        <f t="shared" si="524"/>
        <v>1.54</v>
      </c>
      <c r="DN68" s="106">
        <f t="shared" ref="DN68:DN69" si="552">CX68+DF68</f>
        <v>1.54</v>
      </c>
      <c r="DO68" s="107">
        <f t="shared" si="526"/>
        <v>0</v>
      </c>
      <c r="DP68" s="108">
        <f t="shared" si="527"/>
        <v>0</v>
      </c>
      <c r="DQ68" s="105">
        <f t="shared" si="528"/>
        <v>0</v>
      </c>
      <c r="DR68" s="106">
        <f t="shared" si="529"/>
        <v>0</v>
      </c>
      <c r="DS68" s="107">
        <f t="shared" si="530"/>
        <v>0</v>
      </c>
      <c r="DT68" s="108">
        <f t="shared" si="531"/>
        <v>0</v>
      </c>
      <c r="DU68" s="164">
        <f>SUM(DV68,DX68)</f>
        <v>0</v>
      </c>
      <c r="DV68" s="147"/>
      <c r="DW68" s="161"/>
      <c r="DX68" s="162"/>
      <c r="DY68" s="164">
        <f>SUM(DZ68,EB68)</f>
        <v>0</v>
      </c>
      <c r="DZ68" s="147"/>
      <c r="EA68" s="161"/>
      <c r="EB68" s="162"/>
      <c r="EC68" s="105">
        <f t="shared" si="532"/>
        <v>1.54</v>
      </c>
      <c r="ED68" s="106">
        <f t="shared" ref="ED68:ED69" si="553">DN68+DV68</f>
        <v>1.54</v>
      </c>
      <c r="EE68" s="107">
        <f t="shared" si="534"/>
        <v>0</v>
      </c>
      <c r="EF68" s="108">
        <f t="shared" si="535"/>
        <v>0</v>
      </c>
      <c r="EG68" s="105">
        <f t="shared" si="536"/>
        <v>0</v>
      </c>
      <c r="EH68" s="106">
        <f t="shared" si="537"/>
        <v>0</v>
      </c>
      <c r="EI68" s="107">
        <f t="shared" si="538"/>
        <v>0</v>
      </c>
      <c r="EJ68" s="108">
        <f t="shared" si="539"/>
        <v>0</v>
      </c>
      <c r="EK68" s="154">
        <f t="shared" si="0"/>
        <v>-0.22999999999999998</v>
      </c>
      <c r="EL68" s="154">
        <f t="shared" si="1"/>
        <v>-0.22999999999999998</v>
      </c>
      <c r="EM68" s="105">
        <f>SUM(EN68,EP68)</f>
        <v>1.31</v>
      </c>
      <c r="EN68" s="106">
        <v>1.31</v>
      </c>
      <c r="EO68" s="107"/>
      <c r="EP68" s="108"/>
      <c r="EQ68" s="105">
        <f>SUM(ER68,ET68)</f>
        <v>0</v>
      </c>
      <c r="ER68" s="106"/>
      <c r="ES68" s="107"/>
      <c r="ET68" s="108"/>
    </row>
    <row r="69" spans="1:150" s="4" customFormat="1" ht="21.65" customHeight="1" x14ac:dyDescent="0.25">
      <c r="A69" s="139" t="s">
        <v>7</v>
      </c>
      <c r="B69" s="25" t="s">
        <v>49</v>
      </c>
      <c r="C69" s="48" t="s">
        <v>182</v>
      </c>
      <c r="D69" s="139" t="s">
        <v>37</v>
      </c>
      <c r="E69" s="105"/>
      <c r="F69" s="106"/>
      <c r="G69" s="107"/>
      <c r="H69" s="108"/>
      <c r="I69" s="105"/>
      <c r="J69" s="106"/>
      <c r="K69" s="107"/>
      <c r="L69" s="108"/>
      <c r="M69" s="105"/>
      <c r="N69" s="106"/>
      <c r="O69" s="107"/>
      <c r="P69" s="108"/>
      <c r="Q69" s="105"/>
      <c r="R69" s="106"/>
      <c r="S69" s="107"/>
      <c r="T69" s="108"/>
      <c r="U69" s="105"/>
      <c r="V69" s="106"/>
      <c r="W69" s="107"/>
      <c r="X69" s="108"/>
      <c r="Y69" s="105"/>
      <c r="Z69" s="106"/>
      <c r="AA69" s="107"/>
      <c r="AB69" s="108"/>
      <c r="AC69" s="105"/>
      <c r="AD69" s="106"/>
      <c r="AE69" s="107"/>
      <c r="AF69" s="108"/>
      <c r="AG69" s="105"/>
      <c r="AH69" s="106"/>
      <c r="AI69" s="107"/>
      <c r="AJ69" s="108"/>
      <c r="AK69" s="105"/>
      <c r="AL69" s="106"/>
      <c r="AM69" s="107"/>
      <c r="AN69" s="108"/>
      <c r="AO69" s="105"/>
      <c r="AP69" s="106"/>
      <c r="AQ69" s="107"/>
      <c r="AR69" s="108"/>
      <c r="AS69" s="105"/>
      <c r="AT69" s="106"/>
      <c r="AU69" s="107"/>
      <c r="AV69" s="108"/>
      <c r="AW69" s="105"/>
      <c r="AX69" s="106"/>
      <c r="AY69" s="107"/>
      <c r="AZ69" s="108"/>
      <c r="BA69" s="105"/>
      <c r="BB69" s="106"/>
      <c r="BC69" s="107"/>
      <c r="BD69" s="108"/>
      <c r="BE69" s="105"/>
      <c r="BF69" s="106"/>
      <c r="BG69" s="107"/>
      <c r="BH69" s="108"/>
      <c r="BI69" s="105">
        <f>SUM(BJ69,BL69)</f>
        <v>8.1289999999999996</v>
      </c>
      <c r="BJ69" s="106">
        <v>8.1289999999999996</v>
      </c>
      <c r="BK69" s="107"/>
      <c r="BL69" s="108"/>
      <c r="BM69" s="105"/>
      <c r="BN69" s="106"/>
      <c r="BO69" s="107"/>
      <c r="BP69" s="108"/>
      <c r="BQ69" s="105">
        <f t="shared" ref="BQ69" si="554">SUM(BR69,BT69)</f>
        <v>8.1289999999999996</v>
      </c>
      <c r="BR69" s="106">
        <f t="shared" ref="BR69" si="555">BB69+BJ69</f>
        <v>8.1289999999999996</v>
      </c>
      <c r="BS69" s="107"/>
      <c r="BT69" s="108"/>
      <c r="BU69" s="105"/>
      <c r="BV69" s="106"/>
      <c r="BW69" s="107"/>
      <c r="BX69" s="108"/>
      <c r="BY69" s="164">
        <f>SUM(BZ69,CB69)</f>
        <v>0</v>
      </c>
      <c r="BZ69" s="147"/>
      <c r="CA69" s="161"/>
      <c r="CB69" s="162"/>
      <c r="CC69" s="164"/>
      <c r="CD69" s="147"/>
      <c r="CE69" s="161"/>
      <c r="CF69" s="162"/>
      <c r="CG69" s="105">
        <f t="shared" si="508"/>
        <v>8.1289999999999996</v>
      </c>
      <c r="CH69" s="106">
        <f t="shared" si="550"/>
        <v>8.1289999999999996</v>
      </c>
      <c r="CI69" s="107"/>
      <c r="CJ69" s="108"/>
      <c r="CK69" s="105"/>
      <c r="CL69" s="106"/>
      <c r="CM69" s="107"/>
      <c r="CN69" s="108"/>
      <c r="CO69" s="164">
        <f>SUM(CP69,CR69)</f>
        <v>0</v>
      </c>
      <c r="CP69" s="147"/>
      <c r="CQ69" s="161"/>
      <c r="CR69" s="162"/>
      <c r="CS69" s="164"/>
      <c r="CT69" s="147"/>
      <c r="CU69" s="161"/>
      <c r="CV69" s="162"/>
      <c r="CW69" s="105">
        <f t="shared" si="516"/>
        <v>8.1289999999999996</v>
      </c>
      <c r="CX69" s="106">
        <f t="shared" si="551"/>
        <v>8.1289999999999996</v>
      </c>
      <c r="CY69" s="107"/>
      <c r="CZ69" s="108"/>
      <c r="DA69" s="105"/>
      <c r="DB69" s="106"/>
      <c r="DC69" s="107"/>
      <c r="DD69" s="108"/>
      <c r="DE69" s="164">
        <f>SUM(DF69,DH69)</f>
        <v>0</v>
      </c>
      <c r="DF69" s="147"/>
      <c r="DG69" s="161"/>
      <c r="DH69" s="162"/>
      <c r="DI69" s="164"/>
      <c r="DJ69" s="147"/>
      <c r="DK69" s="161"/>
      <c r="DL69" s="162"/>
      <c r="DM69" s="105">
        <f t="shared" si="524"/>
        <v>8.1289999999999996</v>
      </c>
      <c r="DN69" s="106">
        <f t="shared" si="552"/>
        <v>8.1289999999999996</v>
      </c>
      <c r="DO69" s="107"/>
      <c r="DP69" s="108"/>
      <c r="DQ69" s="105"/>
      <c r="DR69" s="106"/>
      <c r="DS69" s="107"/>
      <c r="DT69" s="108"/>
      <c r="DU69" s="164">
        <f>SUM(DV69,DX69)</f>
        <v>0</v>
      </c>
      <c r="DV69" s="147"/>
      <c r="DW69" s="161"/>
      <c r="DX69" s="162"/>
      <c r="DY69" s="164"/>
      <c r="DZ69" s="147"/>
      <c r="EA69" s="161"/>
      <c r="EB69" s="162"/>
      <c r="EC69" s="105">
        <f t="shared" si="532"/>
        <v>8.1289999999999996</v>
      </c>
      <c r="ED69" s="106">
        <f t="shared" si="553"/>
        <v>8.1289999999999996</v>
      </c>
      <c r="EE69" s="107"/>
      <c r="EF69" s="108"/>
      <c r="EG69" s="105"/>
      <c r="EH69" s="106"/>
      <c r="EI69" s="107"/>
      <c r="EJ69" s="108"/>
      <c r="EK69" s="153">
        <f t="shared" si="0"/>
        <v>0</v>
      </c>
      <c r="EL69" s="154">
        <f t="shared" si="1"/>
        <v>-8.1289999999999996</v>
      </c>
      <c r="EM69" s="105"/>
      <c r="EN69" s="106"/>
      <c r="EO69" s="107"/>
      <c r="EP69" s="108"/>
      <c r="EQ69" s="105"/>
      <c r="ER69" s="106"/>
      <c r="ES69" s="107"/>
      <c r="ET69" s="108"/>
    </row>
    <row r="70" spans="1:150" ht="32" customHeight="1" x14ac:dyDescent="0.3">
      <c r="A70" s="46"/>
      <c r="B70" s="33" t="s">
        <v>9</v>
      </c>
      <c r="C70" s="47" t="s">
        <v>100</v>
      </c>
      <c r="D70" s="94"/>
      <c r="E70" s="148">
        <f>SUM(F70,H70)</f>
        <v>440.14299999999997</v>
      </c>
      <c r="F70" s="149">
        <f>SUM(F72:F76)</f>
        <v>416.54299999999995</v>
      </c>
      <c r="G70" s="150">
        <f>SUM(G72:G74)</f>
        <v>286.45999999999998</v>
      </c>
      <c r="H70" s="151">
        <f>SUM(H72:H76)</f>
        <v>23.6</v>
      </c>
      <c r="I70" s="148">
        <f>SUM(J70,L70)</f>
        <v>6.2830000000000004</v>
      </c>
      <c r="J70" s="149">
        <f>SUM(J72:J76)</f>
        <v>0.28299999999999997</v>
      </c>
      <c r="K70" s="150">
        <f>SUM(K72:K76)</f>
        <v>0</v>
      </c>
      <c r="L70" s="151">
        <f>SUM(L72:L76)</f>
        <v>6</v>
      </c>
      <c r="M70" s="148">
        <f>SUM(N70,P70)</f>
        <v>0</v>
      </c>
      <c r="N70" s="149">
        <f>SUM(N72:N76)</f>
        <v>0</v>
      </c>
      <c r="O70" s="150">
        <f>SUM(O72:O74)</f>
        <v>0</v>
      </c>
      <c r="P70" s="151">
        <f>SUM(P72:P76)</f>
        <v>0</v>
      </c>
      <c r="Q70" s="148">
        <f>SUM(R70,T70)</f>
        <v>0</v>
      </c>
      <c r="R70" s="149">
        <f>SUM(R72:R76)</f>
        <v>0</v>
      </c>
      <c r="S70" s="150">
        <f>SUM(S72:S76)</f>
        <v>0</v>
      </c>
      <c r="T70" s="151">
        <f>SUM(T72:T76)</f>
        <v>0</v>
      </c>
      <c r="U70" s="148">
        <f>SUM(V70,X70)</f>
        <v>440.14299999999997</v>
      </c>
      <c r="V70" s="149">
        <f>SUM(V72:V76)</f>
        <v>416.54299999999995</v>
      </c>
      <c r="W70" s="150">
        <f>SUM(W72:W74)</f>
        <v>286.45999999999998</v>
      </c>
      <c r="X70" s="151">
        <f>SUM(X72:X76)</f>
        <v>23.6</v>
      </c>
      <c r="Y70" s="148">
        <f>SUM(Z70,AB70)</f>
        <v>6.2830000000000004</v>
      </c>
      <c r="Z70" s="149">
        <f>SUM(Z72:Z76)</f>
        <v>0.28299999999999997</v>
      </c>
      <c r="AA70" s="150">
        <f>SUM(AA72:AA76)</f>
        <v>0</v>
      </c>
      <c r="AB70" s="151">
        <f>SUM(AB72:AB76)</f>
        <v>6</v>
      </c>
      <c r="AC70" s="148">
        <f>SUM(AD70,AF70)</f>
        <v>0.48399999999999999</v>
      </c>
      <c r="AD70" s="149">
        <f>SUM(AD72:AD76)</f>
        <v>0.48399999999999999</v>
      </c>
      <c r="AE70" s="150">
        <f>SUM(AE72:AE74)</f>
        <v>0</v>
      </c>
      <c r="AF70" s="151">
        <f>SUM(AF72:AF76)</f>
        <v>0</v>
      </c>
      <c r="AG70" s="148">
        <f>SUM(AH70,AJ70)</f>
        <v>0</v>
      </c>
      <c r="AH70" s="149">
        <f>SUM(AH72:AH76)</f>
        <v>0</v>
      </c>
      <c r="AI70" s="150">
        <f>SUM(AI72:AI76)</f>
        <v>0</v>
      </c>
      <c r="AJ70" s="151">
        <f>SUM(AJ72:AJ76)</f>
        <v>0</v>
      </c>
      <c r="AK70" s="148">
        <f>SUM(AL70,AN70)</f>
        <v>440.62699999999995</v>
      </c>
      <c r="AL70" s="149">
        <f>SUM(AL72:AL76)</f>
        <v>417.02699999999993</v>
      </c>
      <c r="AM70" s="150">
        <f>SUM(AM72:AM74)</f>
        <v>286.45999999999998</v>
      </c>
      <c r="AN70" s="151">
        <f>SUM(AN72:AN76)</f>
        <v>23.6</v>
      </c>
      <c r="AO70" s="148">
        <f>SUM(AP70,AR70)</f>
        <v>6.2830000000000004</v>
      </c>
      <c r="AP70" s="149">
        <f>SUM(AP72:AP76)</f>
        <v>0.28299999999999997</v>
      </c>
      <c r="AQ70" s="150">
        <f>SUM(AQ72:AQ76)</f>
        <v>0</v>
      </c>
      <c r="AR70" s="151">
        <f>SUM(AR72:AR76)</f>
        <v>6</v>
      </c>
      <c r="AS70" s="148">
        <f>SUM(AT70,AV70)</f>
        <v>40.793000000000006</v>
      </c>
      <c r="AT70" s="149">
        <f>SUM(AT72:AT76)</f>
        <v>40.793000000000006</v>
      </c>
      <c r="AU70" s="150">
        <f>SUM(AU72:AU74)</f>
        <v>-0.106</v>
      </c>
      <c r="AV70" s="151">
        <f>SUM(AV72:AV76)</f>
        <v>0</v>
      </c>
      <c r="AW70" s="148">
        <f>SUM(AX70,AZ70)</f>
        <v>0</v>
      </c>
      <c r="AX70" s="149">
        <f>SUM(AX72:AX76)</f>
        <v>0</v>
      </c>
      <c r="AY70" s="150">
        <f>SUM(AY72:AY76)</f>
        <v>0</v>
      </c>
      <c r="AZ70" s="151">
        <f>SUM(AZ72:AZ76)</f>
        <v>0</v>
      </c>
      <c r="BA70" s="148">
        <f>SUM(BB70,BD70)</f>
        <v>481.41999999999996</v>
      </c>
      <c r="BB70" s="149">
        <f>SUM(BB72:BB76)</f>
        <v>457.81999999999994</v>
      </c>
      <c r="BC70" s="150">
        <f>SUM(BC72:BC74)</f>
        <v>286.35399999999998</v>
      </c>
      <c r="BD70" s="151">
        <f>SUM(BD72:BD76)</f>
        <v>23.6</v>
      </c>
      <c r="BE70" s="148">
        <f>SUM(BF70,BH70)</f>
        <v>6.2830000000000004</v>
      </c>
      <c r="BF70" s="149">
        <f>SUM(BF72:BF76)</f>
        <v>0.28299999999999997</v>
      </c>
      <c r="BG70" s="150">
        <f>SUM(BG72:BG76)</f>
        <v>0</v>
      </c>
      <c r="BH70" s="151">
        <f>SUM(BH72:BH76)</f>
        <v>6</v>
      </c>
      <c r="BI70" s="148">
        <f>SUM(BJ70,BL70)</f>
        <v>12.643000000000001</v>
      </c>
      <c r="BJ70" s="149">
        <f>SUM(BJ72:BJ76)</f>
        <v>12.643000000000001</v>
      </c>
      <c r="BK70" s="150">
        <f>SUM(BK72:BK74)</f>
        <v>0</v>
      </c>
      <c r="BL70" s="151">
        <f>SUM(BL72:BL76)</f>
        <v>0</v>
      </c>
      <c r="BM70" s="148">
        <f>SUM(BN70,BP70)</f>
        <v>0</v>
      </c>
      <c r="BN70" s="149">
        <f>SUM(BN72:BN76)</f>
        <v>0</v>
      </c>
      <c r="BO70" s="150">
        <f>SUM(BO72:BO76)</f>
        <v>0</v>
      </c>
      <c r="BP70" s="151">
        <f>SUM(BP72:BP76)</f>
        <v>0</v>
      </c>
      <c r="BQ70" s="148">
        <f>SUM(BR70,BT70)</f>
        <v>494.06299999999993</v>
      </c>
      <c r="BR70" s="149">
        <f>SUM(BR72:BR76)</f>
        <v>470.46299999999991</v>
      </c>
      <c r="BS70" s="150">
        <f>SUM(BS72:BS74)</f>
        <v>286.35399999999998</v>
      </c>
      <c r="BT70" s="151">
        <f>SUM(BT72:BT76)</f>
        <v>23.6</v>
      </c>
      <c r="BU70" s="148">
        <f>SUM(BV70,BX70)</f>
        <v>6.2830000000000004</v>
      </c>
      <c r="BV70" s="149">
        <f>SUM(BV72:BV76)</f>
        <v>0.28299999999999997</v>
      </c>
      <c r="BW70" s="150">
        <f>SUM(BW72:BW76)</f>
        <v>0</v>
      </c>
      <c r="BX70" s="151">
        <f>SUM(BX72:BX76)</f>
        <v>6</v>
      </c>
      <c r="BY70" s="175">
        <f>SUM(BZ70,CB70)</f>
        <v>0</v>
      </c>
      <c r="BZ70" s="176">
        <f>SUM(BZ72:BZ76)</f>
        <v>0</v>
      </c>
      <c r="CA70" s="177">
        <f>SUM(CA72:CA74)</f>
        <v>0</v>
      </c>
      <c r="CB70" s="178">
        <f>SUM(CB72:CB76)</f>
        <v>0</v>
      </c>
      <c r="CC70" s="175">
        <f>SUM(CD70,CF70)</f>
        <v>0</v>
      </c>
      <c r="CD70" s="176">
        <f>SUM(CD72:CD76)</f>
        <v>0</v>
      </c>
      <c r="CE70" s="177">
        <f>SUM(CE72:CE76)</f>
        <v>0</v>
      </c>
      <c r="CF70" s="178">
        <f>SUM(CF72:CF76)</f>
        <v>0</v>
      </c>
      <c r="CG70" s="148">
        <f>SUM(CH70,CJ70)</f>
        <v>494.06299999999993</v>
      </c>
      <c r="CH70" s="149">
        <f>SUM(CH72:CH76)</f>
        <v>470.46299999999991</v>
      </c>
      <c r="CI70" s="150">
        <f>SUM(CI72:CI74)</f>
        <v>286.35399999999998</v>
      </c>
      <c r="CJ70" s="151">
        <f>SUM(CJ72:CJ76)</f>
        <v>23.6</v>
      </c>
      <c r="CK70" s="148">
        <f>SUM(CL70,CN70)</f>
        <v>6.2830000000000004</v>
      </c>
      <c r="CL70" s="149">
        <f>SUM(CL72:CL76)</f>
        <v>0.28299999999999997</v>
      </c>
      <c r="CM70" s="150">
        <f>SUM(CM72:CM76)</f>
        <v>0</v>
      </c>
      <c r="CN70" s="151">
        <f>SUM(CN72:CN76)</f>
        <v>6</v>
      </c>
      <c r="CO70" s="175">
        <f>SUM(CP70,CR70)</f>
        <v>0</v>
      </c>
      <c r="CP70" s="176">
        <f>SUM(CP72:CP76)</f>
        <v>0</v>
      </c>
      <c r="CQ70" s="177">
        <f>SUM(CQ72:CQ74)</f>
        <v>0</v>
      </c>
      <c r="CR70" s="178">
        <f>SUM(CR72:CR76)</f>
        <v>0</v>
      </c>
      <c r="CS70" s="175">
        <f>SUM(CT70,CV70)</f>
        <v>0</v>
      </c>
      <c r="CT70" s="176">
        <f>SUM(CT72:CT76)</f>
        <v>0</v>
      </c>
      <c r="CU70" s="177">
        <f>SUM(CU72:CU76)</f>
        <v>0</v>
      </c>
      <c r="CV70" s="178">
        <f>SUM(CV72:CV76)</f>
        <v>0</v>
      </c>
      <c r="CW70" s="148">
        <f>SUM(CX70,CZ70)</f>
        <v>494.06299999999993</v>
      </c>
      <c r="CX70" s="149">
        <f>SUM(CX72:CX76)</f>
        <v>470.46299999999991</v>
      </c>
      <c r="CY70" s="150">
        <f>SUM(CY72:CY74)</f>
        <v>286.35399999999998</v>
      </c>
      <c r="CZ70" s="151">
        <f>SUM(CZ72:CZ76)</f>
        <v>23.6</v>
      </c>
      <c r="DA70" s="148">
        <f>SUM(DB70,DD70)</f>
        <v>6.2830000000000004</v>
      </c>
      <c r="DB70" s="149">
        <f>SUM(DB72:DB76)</f>
        <v>0.28299999999999997</v>
      </c>
      <c r="DC70" s="150">
        <f>SUM(DC72:DC76)</f>
        <v>0</v>
      </c>
      <c r="DD70" s="151">
        <f>SUM(DD72:DD76)</f>
        <v>6</v>
      </c>
      <c r="DE70" s="175">
        <f>SUM(DF70,DH70)</f>
        <v>6.3800000000000008</v>
      </c>
      <c r="DF70" s="176">
        <f>SUM(DF72:DF76)</f>
        <v>6.3800000000000008</v>
      </c>
      <c r="DG70" s="177">
        <f>SUM(DG72:DG74)</f>
        <v>3.8340000000000001</v>
      </c>
      <c r="DH70" s="178">
        <f>SUM(DH72:DH76)</f>
        <v>0</v>
      </c>
      <c r="DI70" s="175">
        <f>SUM(DJ70,DL70)</f>
        <v>0</v>
      </c>
      <c r="DJ70" s="176">
        <f>SUM(DJ72:DJ76)</f>
        <v>0</v>
      </c>
      <c r="DK70" s="177">
        <f>SUM(DK72:DK76)</f>
        <v>0</v>
      </c>
      <c r="DL70" s="178">
        <f>SUM(DL72:DL76)</f>
        <v>0</v>
      </c>
      <c r="DM70" s="148">
        <f>SUM(DN70,DP70)</f>
        <v>500.44299999999998</v>
      </c>
      <c r="DN70" s="149">
        <f>SUM(DN72:DN76)</f>
        <v>476.84299999999996</v>
      </c>
      <c r="DO70" s="150">
        <f>SUM(DO72:DO74)</f>
        <v>290.18799999999999</v>
      </c>
      <c r="DP70" s="151">
        <f>SUM(DP72:DP76)</f>
        <v>23.6</v>
      </c>
      <c r="DQ70" s="148">
        <f>SUM(DR70,DT70)</f>
        <v>6.2830000000000004</v>
      </c>
      <c r="DR70" s="149">
        <f>SUM(DR72:DR76)</f>
        <v>0.28299999999999997</v>
      </c>
      <c r="DS70" s="150">
        <f>SUM(DS72:DS76)</f>
        <v>0</v>
      </c>
      <c r="DT70" s="151">
        <f>SUM(DT72:DT76)</f>
        <v>6</v>
      </c>
      <c r="DU70" s="175">
        <f>SUM(DV70,DX70)</f>
        <v>0.112</v>
      </c>
      <c r="DV70" s="176">
        <f>SUM(DV72:DV76)</f>
        <v>0.112</v>
      </c>
      <c r="DW70" s="177">
        <f>SUM(DW72:DW74)</f>
        <v>-0.57899999999999996</v>
      </c>
      <c r="DX70" s="178">
        <f>SUM(DX72:DX76)</f>
        <v>0</v>
      </c>
      <c r="DY70" s="175">
        <f>SUM(DZ70,EB70)</f>
        <v>0</v>
      </c>
      <c r="DZ70" s="176">
        <f>SUM(DZ72:DZ76)</f>
        <v>0</v>
      </c>
      <c r="EA70" s="177">
        <f>SUM(EA72:EA76)</f>
        <v>0</v>
      </c>
      <c r="EB70" s="178">
        <f>SUM(EB72:EB76)</f>
        <v>0</v>
      </c>
      <c r="EC70" s="148">
        <f>SUM(ED70,EF70)</f>
        <v>500.55500000000001</v>
      </c>
      <c r="ED70" s="149">
        <f>SUM(ED72:ED76)</f>
        <v>476.95499999999998</v>
      </c>
      <c r="EE70" s="150">
        <f>SUM(EE72:EE74)</f>
        <v>289.60899999999998</v>
      </c>
      <c r="EF70" s="151">
        <f>SUM(EF72:EF76)</f>
        <v>23.6</v>
      </c>
      <c r="EG70" s="148">
        <f>SUM(EH70,EJ70)</f>
        <v>6.2830000000000004</v>
      </c>
      <c r="EH70" s="149">
        <f>SUM(EH72:EH76)</f>
        <v>0.28299999999999997</v>
      </c>
      <c r="EI70" s="150">
        <f>SUM(EI72:EI76)</f>
        <v>0</v>
      </c>
      <c r="EJ70" s="151">
        <f>SUM(EJ72:EJ76)</f>
        <v>6</v>
      </c>
      <c r="EK70" s="155">
        <f t="shared" si="0"/>
        <v>54.104000000000042</v>
      </c>
      <c r="EL70" s="152">
        <f t="shared" si="1"/>
        <v>-6.3079999999999927</v>
      </c>
      <c r="EM70" s="148">
        <f>SUM(EN70,EP70)</f>
        <v>494.24700000000001</v>
      </c>
      <c r="EN70" s="149">
        <f>SUM(EN72:EN76)</f>
        <v>480.06700000000001</v>
      </c>
      <c r="EO70" s="150">
        <f>SUM(EO72:EO74)</f>
        <v>332.07</v>
      </c>
      <c r="EP70" s="151">
        <f>SUM(EP72:EP76)</f>
        <v>14.18</v>
      </c>
      <c r="EQ70" s="148">
        <f>SUM(ER70,ET70)</f>
        <v>16.006999999999998</v>
      </c>
      <c r="ER70" s="149">
        <f>SUM(ER72:ER76)</f>
        <v>12.007</v>
      </c>
      <c r="ES70" s="150">
        <f>SUM(ES72:ES76)</f>
        <v>3.37</v>
      </c>
      <c r="ET70" s="151">
        <f>SUM(ET72:ET76)</f>
        <v>4</v>
      </c>
    </row>
    <row r="71" spans="1:150" ht="15" customHeight="1" x14ac:dyDescent="0.3">
      <c r="A71" s="50"/>
      <c r="B71" s="6" t="s">
        <v>2</v>
      </c>
      <c r="C71" s="51"/>
      <c r="D71" s="94"/>
      <c r="E71" s="105"/>
      <c r="F71" s="106"/>
      <c r="G71" s="107"/>
      <c r="H71" s="108"/>
      <c r="I71" s="105"/>
      <c r="J71" s="106"/>
      <c r="K71" s="107"/>
      <c r="L71" s="108"/>
      <c r="M71" s="105"/>
      <c r="N71" s="106"/>
      <c r="O71" s="107"/>
      <c r="P71" s="108"/>
      <c r="Q71" s="105"/>
      <c r="R71" s="106"/>
      <c r="S71" s="107"/>
      <c r="T71" s="108"/>
      <c r="U71" s="105"/>
      <c r="V71" s="106"/>
      <c r="W71" s="107"/>
      <c r="X71" s="108"/>
      <c r="Y71" s="105"/>
      <c r="Z71" s="106"/>
      <c r="AA71" s="107"/>
      <c r="AB71" s="108"/>
      <c r="AC71" s="105"/>
      <c r="AD71" s="106"/>
      <c r="AE71" s="107"/>
      <c r="AF71" s="108"/>
      <c r="AG71" s="105"/>
      <c r="AH71" s="106"/>
      <c r="AI71" s="107"/>
      <c r="AJ71" s="108"/>
      <c r="AK71" s="105"/>
      <c r="AL71" s="106"/>
      <c r="AM71" s="107"/>
      <c r="AN71" s="108"/>
      <c r="AO71" s="105"/>
      <c r="AP71" s="106"/>
      <c r="AQ71" s="107"/>
      <c r="AR71" s="108"/>
      <c r="AS71" s="105"/>
      <c r="AT71" s="106"/>
      <c r="AU71" s="107"/>
      <c r="AV71" s="108"/>
      <c r="AW71" s="105"/>
      <c r="AX71" s="106"/>
      <c r="AY71" s="107"/>
      <c r="AZ71" s="108"/>
      <c r="BA71" s="105"/>
      <c r="BB71" s="106"/>
      <c r="BC71" s="107"/>
      <c r="BD71" s="108"/>
      <c r="BE71" s="105"/>
      <c r="BF71" s="106"/>
      <c r="BG71" s="107"/>
      <c r="BH71" s="108"/>
      <c r="BI71" s="105"/>
      <c r="BJ71" s="106"/>
      <c r="BK71" s="107"/>
      <c r="BL71" s="108"/>
      <c r="BM71" s="105"/>
      <c r="BN71" s="106"/>
      <c r="BO71" s="107"/>
      <c r="BP71" s="108"/>
      <c r="BQ71" s="105"/>
      <c r="BR71" s="106"/>
      <c r="BS71" s="107"/>
      <c r="BT71" s="108"/>
      <c r="BU71" s="105"/>
      <c r="BV71" s="106"/>
      <c r="BW71" s="107"/>
      <c r="BX71" s="108"/>
      <c r="BY71" s="164"/>
      <c r="BZ71" s="147"/>
      <c r="CA71" s="161"/>
      <c r="CB71" s="162"/>
      <c r="CC71" s="164"/>
      <c r="CD71" s="147"/>
      <c r="CE71" s="161"/>
      <c r="CF71" s="162"/>
      <c r="CG71" s="105"/>
      <c r="CH71" s="106"/>
      <c r="CI71" s="107"/>
      <c r="CJ71" s="108"/>
      <c r="CK71" s="105"/>
      <c r="CL71" s="106"/>
      <c r="CM71" s="107"/>
      <c r="CN71" s="108"/>
      <c r="CO71" s="164"/>
      <c r="CP71" s="147"/>
      <c r="CQ71" s="161"/>
      <c r="CR71" s="162"/>
      <c r="CS71" s="164"/>
      <c r="CT71" s="147"/>
      <c r="CU71" s="161"/>
      <c r="CV71" s="162"/>
      <c r="CW71" s="105"/>
      <c r="CX71" s="106"/>
      <c r="CY71" s="107"/>
      <c r="CZ71" s="108"/>
      <c r="DA71" s="105"/>
      <c r="DB71" s="106"/>
      <c r="DC71" s="107"/>
      <c r="DD71" s="108"/>
      <c r="DE71" s="164"/>
      <c r="DF71" s="147"/>
      <c r="DG71" s="161"/>
      <c r="DH71" s="162"/>
      <c r="DI71" s="164"/>
      <c r="DJ71" s="147"/>
      <c r="DK71" s="161"/>
      <c r="DL71" s="162"/>
      <c r="DM71" s="105"/>
      <c r="DN71" s="106"/>
      <c r="DO71" s="107"/>
      <c r="DP71" s="108"/>
      <c r="DQ71" s="105"/>
      <c r="DR71" s="106"/>
      <c r="DS71" s="107"/>
      <c r="DT71" s="108"/>
      <c r="DU71" s="164"/>
      <c r="DV71" s="147"/>
      <c r="DW71" s="161"/>
      <c r="DX71" s="162"/>
      <c r="DY71" s="164"/>
      <c r="DZ71" s="147"/>
      <c r="EA71" s="161"/>
      <c r="EB71" s="162"/>
      <c r="EC71" s="105"/>
      <c r="ED71" s="106"/>
      <c r="EE71" s="107"/>
      <c r="EF71" s="108"/>
      <c r="EG71" s="105"/>
      <c r="EH71" s="106"/>
      <c r="EI71" s="107"/>
      <c r="EJ71" s="108"/>
      <c r="EK71" s="153">
        <f t="shared" si="0"/>
        <v>0</v>
      </c>
      <c r="EL71" s="153">
        <f t="shared" si="1"/>
        <v>0</v>
      </c>
      <c r="EM71" s="105"/>
      <c r="EN71" s="106"/>
      <c r="EO71" s="107"/>
      <c r="EP71" s="108"/>
      <c r="EQ71" s="105"/>
      <c r="ER71" s="106"/>
      <c r="ES71" s="107"/>
      <c r="ET71" s="108"/>
    </row>
    <row r="72" spans="1:150" s="4" customFormat="1" ht="21.65" customHeight="1" x14ac:dyDescent="0.25">
      <c r="A72" s="704" t="s">
        <v>26</v>
      </c>
      <c r="B72" s="702" t="s">
        <v>42</v>
      </c>
      <c r="C72" s="48" t="s">
        <v>63</v>
      </c>
      <c r="D72" s="93" t="s">
        <v>37</v>
      </c>
      <c r="E72" s="105">
        <f>SUM(F72,H72)</f>
        <v>348.06</v>
      </c>
      <c r="F72" s="106">
        <f>339.45+7.31</f>
        <v>346.76</v>
      </c>
      <c r="G72" s="107">
        <f>280.05+7.21-0.8</f>
        <v>286.45999999999998</v>
      </c>
      <c r="H72" s="108">
        <v>1.3</v>
      </c>
      <c r="I72" s="105">
        <f>SUM(J72,L72)</f>
        <v>0</v>
      </c>
      <c r="J72" s="106"/>
      <c r="K72" s="107"/>
      <c r="L72" s="108"/>
      <c r="M72" s="105">
        <f>SUM(N72,P72)</f>
        <v>0</v>
      </c>
      <c r="N72" s="106"/>
      <c r="O72" s="107"/>
      <c r="P72" s="108"/>
      <c r="Q72" s="105">
        <f>SUM(R72,T72)</f>
        <v>0</v>
      </c>
      <c r="R72" s="106"/>
      <c r="S72" s="107"/>
      <c r="T72" s="108"/>
      <c r="U72" s="105">
        <f t="shared" ref="U72" si="556">SUM(V72,X72)</f>
        <v>348.06</v>
      </c>
      <c r="V72" s="106">
        <f t="shared" ref="V72" si="557">F72+N72</f>
        <v>346.76</v>
      </c>
      <c r="W72" s="107">
        <f t="shared" ref="W72" si="558">G72+O72</f>
        <v>286.45999999999998</v>
      </c>
      <c r="X72" s="108">
        <f t="shared" ref="X72" si="559">H72+P72</f>
        <v>1.3</v>
      </c>
      <c r="Y72" s="105">
        <f t="shared" ref="Y72" si="560">SUM(Z72,AB72)</f>
        <v>0</v>
      </c>
      <c r="Z72" s="106">
        <f t="shared" ref="Z72" si="561">J72+R72</f>
        <v>0</v>
      </c>
      <c r="AA72" s="107">
        <f t="shared" ref="AA72" si="562">K72+S72</f>
        <v>0</v>
      </c>
      <c r="AB72" s="108">
        <f t="shared" ref="AB72" si="563">L72+T72</f>
        <v>0</v>
      </c>
      <c r="AC72" s="105">
        <f>SUM(AD72,AF72)</f>
        <v>0.48399999999999999</v>
      </c>
      <c r="AD72" s="106">
        <v>0.48399999999999999</v>
      </c>
      <c r="AE72" s="107"/>
      <c r="AF72" s="108"/>
      <c r="AG72" s="105">
        <f>SUM(AH72,AJ72)</f>
        <v>0</v>
      </c>
      <c r="AH72" s="106"/>
      <c r="AI72" s="107"/>
      <c r="AJ72" s="108"/>
      <c r="AK72" s="105">
        <f t="shared" ref="AK72:AK76" si="564">SUM(AL72,AN72)</f>
        <v>348.54399999999998</v>
      </c>
      <c r="AL72" s="106">
        <f t="shared" ref="AL72:AL76" si="565">V72+AD72</f>
        <v>347.24399999999997</v>
      </c>
      <c r="AM72" s="107">
        <f t="shared" ref="AM72:AM76" si="566">W72+AE72</f>
        <v>286.45999999999998</v>
      </c>
      <c r="AN72" s="108">
        <f t="shared" ref="AN72:AN76" si="567">X72+AF72</f>
        <v>1.3</v>
      </c>
      <c r="AO72" s="105">
        <f t="shared" ref="AO72:AO76" si="568">SUM(AP72,AR72)</f>
        <v>0</v>
      </c>
      <c r="AP72" s="106">
        <f t="shared" ref="AP72:AP76" si="569">Z72+AH72</f>
        <v>0</v>
      </c>
      <c r="AQ72" s="107">
        <f t="shared" ref="AQ72:AQ76" si="570">AA72+AI72</f>
        <v>0</v>
      </c>
      <c r="AR72" s="108">
        <f t="shared" ref="AR72:AR76" si="571">AB72+AJ72</f>
        <v>0</v>
      </c>
      <c r="AS72" s="105">
        <f>SUM(AT72,AV72)</f>
        <v>-0.108</v>
      </c>
      <c r="AT72" s="106">
        <v>-0.108</v>
      </c>
      <c r="AU72" s="107">
        <v>-0.106</v>
      </c>
      <c r="AV72" s="108"/>
      <c r="AW72" s="105">
        <f>SUM(AX72,AZ72)</f>
        <v>0</v>
      </c>
      <c r="AX72" s="106"/>
      <c r="AY72" s="107"/>
      <c r="AZ72" s="108"/>
      <c r="BA72" s="105">
        <f t="shared" ref="BA72:BA76" si="572">SUM(BB72,BD72)</f>
        <v>348.43599999999998</v>
      </c>
      <c r="BB72" s="106">
        <f t="shared" ref="BB72:BB76" si="573">AL72+AT72</f>
        <v>347.13599999999997</v>
      </c>
      <c r="BC72" s="107">
        <f t="shared" ref="BC72:BC76" si="574">AM72+AU72</f>
        <v>286.35399999999998</v>
      </c>
      <c r="BD72" s="108">
        <f t="shared" ref="BD72:BD76" si="575">AN72+AV72</f>
        <v>1.3</v>
      </c>
      <c r="BE72" s="105">
        <f t="shared" ref="BE72:BE76" si="576">SUM(BF72,BH72)</f>
        <v>0</v>
      </c>
      <c r="BF72" s="106">
        <f t="shared" ref="BF72:BF76" si="577">AP72+AX72</f>
        <v>0</v>
      </c>
      <c r="BG72" s="107">
        <f t="shared" ref="BG72:BG76" si="578">AQ72+AY72</f>
        <v>0</v>
      </c>
      <c r="BH72" s="108">
        <f t="shared" ref="BH72:BH76" si="579">AR72+AZ72</f>
        <v>0</v>
      </c>
      <c r="BI72" s="105">
        <f>SUM(BJ72,BL72)</f>
        <v>0</v>
      </c>
      <c r="BJ72" s="106"/>
      <c r="BK72" s="107"/>
      <c r="BL72" s="108"/>
      <c r="BM72" s="105">
        <f>SUM(BN72,BP72)</f>
        <v>0</v>
      </c>
      <c r="BN72" s="106"/>
      <c r="BO72" s="107"/>
      <c r="BP72" s="108"/>
      <c r="BQ72" s="105">
        <f t="shared" ref="BQ72:BQ76" si="580">SUM(BR72,BT72)</f>
        <v>348.43599999999998</v>
      </c>
      <c r="BR72" s="106">
        <f t="shared" ref="BR72:BR76" si="581">BB72+BJ72</f>
        <v>347.13599999999997</v>
      </c>
      <c r="BS72" s="107">
        <f t="shared" ref="BS72:BS76" si="582">BC72+BK72</f>
        <v>286.35399999999998</v>
      </c>
      <c r="BT72" s="108">
        <f t="shared" ref="BT72:BT76" si="583">BD72+BL72</f>
        <v>1.3</v>
      </c>
      <c r="BU72" s="105">
        <f t="shared" ref="BU72:BU76" si="584">SUM(BV72,BX72)</f>
        <v>0</v>
      </c>
      <c r="BV72" s="106">
        <f t="shared" ref="BV72:BV76" si="585">BF72+BN72</f>
        <v>0</v>
      </c>
      <c r="BW72" s="107">
        <f t="shared" ref="BW72:BW76" si="586">BG72+BO72</f>
        <v>0</v>
      </c>
      <c r="BX72" s="108">
        <f t="shared" ref="BX72:BX76" si="587">BH72+BP72</f>
        <v>0</v>
      </c>
      <c r="BY72" s="164">
        <f>SUM(BZ72,CB72)</f>
        <v>0</v>
      </c>
      <c r="BZ72" s="147"/>
      <c r="CA72" s="161"/>
      <c r="CB72" s="162"/>
      <c r="CC72" s="164">
        <f>SUM(CD72,CF72)</f>
        <v>0</v>
      </c>
      <c r="CD72" s="147"/>
      <c r="CE72" s="161"/>
      <c r="CF72" s="162"/>
      <c r="CG72" s="105">
        <f t="shared" ref="CG72:CG76" si="588">SUM(CH72,CJ72)</f>
        <v>348.43599999999998</v>
      </c>
      <c r="CH72" s="106">
        <f t="shared" ref="CH72:CH76" si="589">BR72+BZ72</f>
        <v>347.13599999999997</v>
      </c>
      <c r="CI72" s="107">
        <f t="shared" ref="CI72:CI76" si="590">BS72+CA72</f>
        <v>286.35399999999998</v>
      </c>
      <c r="CJ72" s="108">
        <f t="shared" ref="CJ72:CJ76" si="591">BT72+CB72</f>
        <v>1.3</v>
      </c>
      <c r="CK72" s="105">
        <f t="shared" ref="CK72:CK76" si="592">SUM(CL72,CN72)</f>
        <v>0</v>
      </c>
      <c r="CL72" s="106">
        <f t="shared" ref="CL72:CL76" si="593">BV72+CD72</f>
        <v>0</v>
      </c>
      <c r="CM72" s="107">
        <f t="shared" ref="CM72:CM76" si="594">BW72+CE72</f>
        <v>0</v>
      </c>
      <c r="CN72" s="108">
        <f t="shared" ref="CN72:CN76" si="595">BX72+CF72</f>
        <v>0</v>
      </c>
      <c r="CO72" s="164">
        <f>SUM(CP72,CR72)</f>
        <v>0</v>
      </c>
      <c r="CP72" s="147"/>
      <c r="CQ72" s="161"/>
      <c r="CR72" s="162"/>
      <c r="CS72" s="164">
        <f>SUM(CT72,CV72)</f>
        <v>0</v>
      </c>
      <c r="CT72" s="147"/>
      <c r="CU72" s="161"/>
      <c r="CV72" s="162"/>
      <c r="CW72" s="105">
        <f t="shared" ref="CW72:CW76" si="596">SUM(CX72,CZ72)</f>
        <v>348.43599999999998</v>
      </c>
      <c r="CX72" s="106">
        <f t="shared" ref="CX72:CX76" si="597">CH72+CP72</f>
        <v>347.13599999999997</v>
      </c>
      <c r="CY72" s="107">
        <f t="shared" ref="CY72:CY76" si="598">CI72+CQ72</f>
        <v>286.35399999999998</v>
      </c>
      <c r="CZ72" s="108">
        <f t="shared" ref="CZ72:CZ76" si="599">CJ72+CR72</f>
        <v>1.3</v>
      </c>
      <c r="DA72" s="105">
        <f t="shared" ref="DA72:DA76" si="600">SUM(DB72,DD72)</f>
        <v>0</v>
      </c>
      <c r="DB72" s="106">
        <f t="shared" ref="DB72:DB76" si="601">CL72+CT72</f>
        <v>0</v>
      </c>
      <c r="DC72" s="107">
        <f t="shared" ref="DC72:DC76" si="602">CM72+CU72</f>
        <v>0</v>
      </c>
      <c r="DD72" s="108">
        <f t="shared" ref="DD72:DD76" si="603">CN72+CV72</f>
        <v>0</v>
      </c>
      <c r="DE72" s="164">
        <f>SUM(DF72,DH72)</f>
        <v>5.73</v>
      </c>
      <c r="DF72" s="147">
        <f>-0.09+1.84+3.98</f>
        <v>5.73</v>
      </c>
      <c r="DG72" s="161">
        <f>3.923-0.089</f>
        <v>3.8340000000000001</v>
      </c>
      <c r="DH72" s="162"/>
      <c r="DI72" s="164">
        <f>SUM(DJ72,DL72)</f>
        <v>0</v>
      </c>
      <c r="DJ72" s="147"/>
      <c r="DK72" s="161"/>
      <c r="DL72" s="162"/>
      <c r="DM72" s="105">
        <f t="shared" ref="DM72:DM76" si="604">SUM(DN72,DP72)</f>
        <v>354.166</v>
      </c>
      <c r="DN72" s="106">
        <f t="shared" ref="DN72:DN76" si="605">CX72+DF72</f>
        <v>352.86599999999999</v>
      </c>
      <c r="DO72" s="107">
        <f t="shared" ref="DO72:DO76" si="606">CY72+DG72</f>
        <v>290.18799999999999</v>
      </c>
      <c r="DP72" s="108">
        <f t="shared" ref="DP72:DP76" si="607">CZ72+DH72</f>
        <v>1.3</v>
      </c>
      <c r="DQ72" s="105">
        <f t="shared" ref="DQ72:DQ76" si="608">SUM(DR72,DT72)</f>
        <v>0</v>
      </c>
      <c r="DR72" s="106">
        <f t="shared" ref="DR72:DR76" si="609">DB72+DJ72</f>
        <v>0</v>
      </c>
      <c r="DS72" s="107">
        <f t="shared" ref="DS72:DS76" si="610">DC72+DK72</f>
        <v>0</v>
      </c>
      <c r="DT72" s="108">
        <f t="shared" ref="DT72:DT76" si="611">DD72+DL72</f>
        <v>0</v>
      </c>
      <c r="DU72" s="164">
        <f>SUM(DV72,DX72)</f>
        <v>0.112</v>
      </c>
      <c r="DV72" s="147">
        <v>0.112</v>
      </c>
      <c r="DW72" s="161">
        <f>0.111-0.69</f>
        <v>-0.57899999999999996</v>
      </c>
      <c r="DX72" s="162"/>
      <c r="DY72" s="164">
        <f>SUM(DZ72,EB72)</f>
        <v>0</v>
      </c>
      <c r="DZ72" s="147"/>
      <c r="EA72" s="161"/>
      <c r="EB72" s="162"/>
      <c r="EC72" s="105">
        <f t="shared" ref="EC72:EC76" si="612">SUM(ED72,EF72)</f>
        <v>354.27800000000002</v>
      </c>
      <c r="ED72" s="106">
        <f t="shared" ref="ED72:ED76" si="613">DN72+DV72</f>
        <v>352.97800000000001</v>
      </c>
      <c r="EE72" s="107">
        <f t="shared" ref="EE72:EE76" si="614">DO72+DW72</f>
        <v>289.60899999999998</v>
      </c>
      <c r="EF72" s="108">
        <f t="shared" ref="EF72:EF76" si="615">DP72+DX72</f>
        <v>1.3</v>
      </c>
      <c r="EG72" s="105">
        <f t="shared" ref="EG72:EG76" si="616">SUM(EH72,EJ72)</f>
        <v>0</v>
      </c>
      <c r="EH72" s="106">
        <f t="shared" ref="EH72:EH76" si="617">DR72+DZ72</f>
        <v>0</v>
      </c>
      <c r="EI72" s="107">
        <f t="shared" ref="EI72:EI76" si="618">DS72+EA72</f>
        <v>0</v>
      </c>
      <c r="EJ72" s="108">
        <f t="shared" ref="EJ72:EJ76" si="619">DT72+EB72</f>
        <v>0</v>
      </c>
      <c r="EK72" s="163">
        <f t="shared" si="0"/>
        <v>50.478000000000009</v>
      </c>
      <c r="EL72" s="163">
        <f t="shared" si="1"/>
        <v>44.259999999999991</v>
      </c>
      <c r="EM72" s="105">
        <f>SUM(EN72,EP72)</f>
        <v>398.53800000000001</v>
      </c>
      <c r="EN72" s="106">
        <f>ER72+394.3</f>
        <v>398.53800000000001</v>
      </c>
      <c r="EO72" s="107">
        <f>ES72+330.4-1.7</f>
        <v>332.07</v>
      </c>
      <c r="EP72" s="108"/>
      <c r="EQ72" s="105">
        <f>SUM(ER72,ET72)</f>
        <v>4.2379999999999995</v>
      </c>
      <c r="ER72" s="106">
        <f>3.86+0.378</f>
        <v>4.2379999999999995</v>
      </c>
      <c r="ES72" s="107">
        <v>3.37</v>
      </c>
      <c r="ET72" s="108"/>
    </row>
    <row r="73" spans="1:150" s="4" customFormat="1" ht="21.65" customHeight="1" x14ac:dyDescent="0.25">
      <c r="A73" s="716"/>
      <c r="B73" s="719"/>
      <c r="C73" s="48" t="s">
        <v>64</v>
      </c>
      <c r="D73" s="139" t="s">
        <v>52</v>
      </c>
      <c r="E73" s="105">
        <f>SUM(F73,H73)</f>
        <v>75.182999999999993</v>
      </c>
      <c r="F73" s="106">
        <f>68.6+J73</f>
        <v>68.882999999999996</v>
      </c>
      <c r="G73" s="107"/>
      <c r="H73" s="108">
        <v>6.3</v>
      </c>
      <c r="I73" s="105">
        <f>SUM(J73,L73)</f>
        <v>0.28299999999999997</v>
      </c>
      <c r="J73" s="106">
        <v>0.28299999999999997</v>
      </c>
      <c r="K73" s="107"/>
      <c r="L73" s="108"/>
      <c r="M73" s="105">
        <f>SUM(N73,P73)</f>
        <v>0</v>
      </c>
      <c r="N73" s="106"/>
      <c r="O73" s="107"/>
      <c r="P73" s="108"/>
      <c r="Q73" s="105">
        <f>SUM(R73,T73)</f>
        <v>0</v>
      </c>
      <c r="R73" s="106"/>
      <c r="S73" s="107"/>
      <c r="T73" s="108"/>
      <c r="U73" s="105">
        <f t="shared" ref="U73:U76" si="620">SUM(V73,X73)</f>
        <v>75.182999999999993</v>
      </c>
      <c r="V73" s="106">
        <f t="shared" ref="V73:V76" si="621">F73+N73</f>
        <v>68.882999999999996</v>
      </c>
      <c r="W73" s="107">
        <f t="shared" ref="W73:W76" si="622">G73+O73</f>
        <v>0</v>
      </c>
      <c r="X73" s="108">
        <f t="shared" ref="X73:X76" si="623">H73+P73</f>
        <v>6.3</v>
      </c>
      <c r="Y73" s="105">
        <f t="shared" ref="Y73:Y76" si="624">SUM(Z73,AB73)</f>
        <v>0.28299999999999997</v>
      </c>
      <c r="Z73" s="106">
        <f t="shared" ref="Z73:Z76" si="625">J73+R73</f>
        <v>0.28299999999999997</v>
      </c>
      <c r="AA73" s="107">
        <f t="shared" ref="AA73:AA76" si="626">K73+S73</f>
        <v>0</v>
      </c>
      <c r="AB73" s="108">
        <f t="shared" ref="AB73:AB76" si="627">L73+T73</f>
        <v>0</v>
      </c>
      <c r="AC73" s="105">
        <f>SUM(AD73,AF73)</f>
        <v>0</v>
      </c>
      <c r="AD73" s="106"/>
      <c r="AE73" s="107"/>
      <c r="AF73" s="108"/>
      <c r="AG73" s="105">
        <f>SUM(AH73,AJ73)</f>
        <v>0</v>
      </c>
      <c r="AH73" s="106"/>
      <c r="AI73" s="107"/>
      <c r="AJ73" s="108"/>
      <c r="AK73" s="105">
        <f t="shared" si="564"/>
        <v>75.182999999999993</v>
      </c>
      <c r="AL73" s="106">
        <f t="shared" si="565"/>
        <v>68.882999999999996</v>
      </c>
      <c r="AM73" s="107">
        <f t="shared" si="566"/>
        <v>0</v>
      </c>
      <c r="AN73" s="108">
        <f t="shared" si="567"/>
        <v>6.3</v>
      </c>
      <c r="AO73" s="105">
        <f t="shared" si="568"/>
        <v>0.28299999999999997</v>
      </c>
      <c r="AP73" s="106">
        <f t="shared" si="569"/>
        <v>0.28299999999999997</v>
      </c>
      <c r="AQ73" s="107">
        <f t="shared" si="570"/>
        <v>0</v>
      </c>
      <c r="AR73" s="108">
        <f t="shared" si="571"/>
        <v>0</v>
      </c>
      <c r="AS73" s="105">
        <f>SUM(AT73,AV73)</f>
        <v>0</v>
      </c>
      <c r="AT73" s="106"/>
      <c r="AU73" s="107"/>
      <c r="AV73" s="108"/>
      <c r="AW73" s="105">
        <f>SUM(AX73,AZ73)</f>
        <v>0</v>
      </c>
      <c r="AX73" s="106"/>
      <c r="AY73" s="107"/>
      <c r="AZ73" s="108"/>
      <c r="BA73" s="105">
        <f t="shared" si="572"/>
        <v>75.182999999999993</v>
      </c>
      <c r="BB73" s="106">
        <f t="shared" si="573"/>
        <v>68.882999999999996</v>
      </c>
      <c r="BC73" s="107">
        <f t="shared" si="574"/>
        <v>0</v>
      </c>
      <c r="BD73" s="108">
        <f t="shared" si="575"/>
        <v>6.3</v>
      </c>
      <c r="BE73" s="105">
        <f t="shared" si="576"/>
        <v>0.28299999999999997</v>
      </c>
      <c r="BF73" s="106">
        <f t="shared" si="577"/>
        <v>0.28299999999999997</v>
      </c>
      <c r="BG73" s="107">
        <f t="shared" si="578"/>
        <v>0</v>
      </c>
      <c r="BH73" s="108">
        <f t="shared" si="579"/>
        <v>0</v>
      </c>
      <c r="BI73" s="105">
        <f>SUM(BJ73,BL73)</f>
        <v>0</v>
      </c>
      <c r="BJ73" s="106"/>
      <c r="BK73" s="107"/>
      <c r="BL73" s="108"/>
      <c r="BM73" s="105">
        <f>SUM(BN73,BP73)</f>
        <v>0</v>
      </c>
      <c r="BN73" s="106"/>
      <c r="BO73" s="107"/>
      <c r="BP73" s="108"/>
      <c r="BQ73" s="105">
        <f t="shared" si="580"/>
        <v>75.182999999999993</v>
      </c>
      <c r="BR73" s="106">
        <f t="shared" si="581"/>
        <v>68.882999999999996</v>
      </c>
      <c r="BS73" s="107">
        <f t="shared" si="582"/>
        <v>0</v>
      </c>
      <c r="BT73" s="108">
        <f t="shared" si="583"/>
        <v>6.3</v>
      </c>
      <c r="BU73" s="105">
        <f t="shared" si="584"/>
        <v>0.28299999999999997</v>
      </c>
      <c r="BV73" s="106">
        <f t="shared" si="585"/>
        <v>0.28299999999999997</v>
      </c>
      <c r="BW73" s="107">
        <f t="shared" si="586"/>
        <v>0</v>
      </c>
      <c r="BX73" s="108">
        <f t="shared" si="587"/>
        <v>0</v>
      </c>
      <c r="BY73" s="164">
        <f>SUM(BZ73,CB73)</f>
        <v>0</v>
      </c>
      <c r="BZ73" s="147"/>
      <c r="CA73" s="161"/>
      <c r="CB73" s="162"/>
      <c r="CC73" s="164">
        <f>SUM(CD73,CF73)</f>
        <v>0</v>
      </c>
      <c r="CD73" s="147"/>
      <c r="CE73" s="161"/>
      <c r="CF73" s="162"/>
      <c r="CG73" s="105">
        <f t="shared" si="588"/>
        <v>75.182999999999993</v>
      </c>
      <c r="CH73" s="106">
        <f t="shared" si="589"/>
        <v>68.882999999999996</v>
      </c>
      <c r="CI73" s="107">
        <f t="shared" si="590"/>
        <v>0</v>
      </c>
      <c r="CJ73" s="108">
        <f t="shared" si="591"/>
        <v>6.3</v>
      </c>
      <c r="CK73" s="105">
        <f t="shared" si="592"/>
        <v>0.28299999999999997</v>
      </c>
      <c r="CL73" s="106">
        <f t="shared" si="593"/>
        <v>0.28299999999999997</v>
      </c>
      <c r="CM73" s="107">
        <f t="shared" si="594"/>
        <v>0</v>
      </c>
      <c r="CN73" s="108">
        <f t="shared" si="595"/>
        <v>0</v>
      </c>
      <c r="CO73" s="164">
        <f>SUM(CP73,CR73)</f>
        <v>0</v>
      </c>
      <c r="CP73" s="147"/>
      <c r="CQ73" s="161"/>
      <c r="CR73" s="162"/>
      <c r="CS73" s="164">
        <f>SUM(CT73,CV73)</f>
        <v>0</v>
      </c>
      <c r="CT73" s="147"/>
      <c r="CU73" s="161"/>
      <c r="CV73" s="162"/>
      <c r="CW73" s="105">
        <f t="shared" si="596"/>
        <v>75.182999999999993</v>
      </c>
      <c r="CX73" s="106">
        <f t="shared" si="597"/>
        <v>68.882999999999996</v>
      </c>
      <c r="CY73" s="107">
        <f t="shared" si="598"/>
        <v>0</v>
      </c>
      <c r="CZ73" s="108">
        <f t="shared" si="599"/>
        <v>6.3</v>
      </c>
      <c r="DA73" s="105">
        <f t="shared" si="600"/>
        <v>0.28299999999999997</v>
      </c>
      <c r="DB73" s="106">
        <f t="shared" si="601"/>
        <v>0.28299999999999997</v>
      </c>
      <c r="DC73" s="107">
        <f t="shared" si="602"/>
        <v>0</v>
      </c>
      <c r="DD73" s="108">
        <f t="shared" si="603"/>
        <v>0</v>
      </c>
      <c r="DE73" s="164">
        <f>SUM(DF73,DH73)</f>
        <v>0.65</v>
      </c>
      <c r="DF73" s="147">
        <v>0.65</v>
      </c>
      <c r="DG73" s="161"/>
      <c r="DH73" s="162"/>
      <c r="DI73" s="164">
        <f>SUM(DJ73,DL73)</f>
        <v>0</v>
      </c>
      <c r="DJ73" s="147"/>
      <c r="DK73" s="161"/>
      <c r="DL73" s="162"/>
      <c r="DM73" s="105">
        <f t="shared" si="604"/>
        <v>75.832999999999998</v>
      </c>
      <c r="DN73" s="106">
        <f t="shared" si="605"/>
        <v>69.533000000000001</v>
      </c>
      <c r="DO73" s="107">
        <f t="shared" si="606"/>
        <v>0</v>
      </c>
      <c r="DP73" s="108">
        <f t="shared" si="607"/>
        <v>6.3</v>
      </c>
      <c r="DQ73" s="105">
        <f t="shared" si="608"/>
        <v>0.28299999999999997</v>
      </c>
      <c r="DR73" s="106">
        <f t="shared" si="609"/>
        <v>0.28299999999999997</v>
      </c>
      <c r="DS73" s="107">
        <f t="shared" si="610"/>
        <v>0</v>
      </c>
      <c r="DT73" s="108">
        <f t="shared" si="611"/>
        <v>0</v>
      </c>
      <c r="DU73" s="164">
        <f>SUM(DV73,DX73)</f>
        <v>0</v>
      </c>
      <c r="DV73" s="147"/>
      <c r="DW73" s="161"/>
      <c r="DX73" s="162"/>
      <c r="DY73" s="164">
        <f>SUM(DZ73,EB73)</f>
        <v>0</v>
      </c>
      <c r="DZ73" s="147"/>
      <c r="EA73" s="161"/>
      <c r="EB73" s="162"/>
      <c r="EC73" s="105">
        <f t="shared" si="612"/>
        <v>75.832999999999998</v>
      </c>
      <c r="ED73" s="106">
        <f t="shared" si="613"/>
        <v>69.533000000000001</v>
      </c>
      <c r="EE73" s="107">
        <f t="shared" si="614"/>
        <v>0</v>
      </c>
      <c r="EF73" s="108">
        <f t="shared" si="615"/>
        <v>6.3</v>
      </c>
      <c r="EG73" s="105">
        <f t="shared" si="616"/>
        <v>0.28299999999999997</v>
      </c>
      <c r="EH73" s="106">
        <f t="shared" si="617"/>
        <v>0.28299999999999997</v>
      </c>
      <c r="EI73" s="107">
        <f t="shared" si="618"/>
        <v>0</v>
      </c>
      <c r="EJ73" s="108">
        <f t="shared" si="619"/>
        <v>0</v>
      </c>
      <c r="EK73" s="163">
        <f t="shared" si="0"/>
        <v>17.286000000000001</v>
      </c>
      <c r="EL73" s="163">
        <f t="shared" si="1"/>
        <v>16.635999999999996</v>
      </c>
      <c r="EM73" s="105">
        <f>SUM(EN73,EP73)</f>
        <v>92.468999999999994</v>
      </c>
      <c r="EN73" s="106">
        <f>ER73+73.02</f>
        <v>80.789000000000001</v>
      </c>
      <c r="EO73" s="107"/>
      <c r="EP73" s="108">
        <f>ET73+7.68</f>
        <v>11.68</v>
      </c>
      <c r="EQ73" s="105">
        <f>SUM(ER73,ET73)</f>
        <v>11.769</v>
      </c>
      <c r="ER73" s="106">
        <v>7.7690000000000001</v>
      </c>
      <c r="ES73" s="107"/>
      <c r="ET73" s="108">
        <v>4</v>
      </c>
    </row>
    <row r="74" spans="1:150" s="4" customFormat="1" ht="21.65" customHeight="1" x14ac:dyDescent="0.25">
      <c r="A74" s="42" t="s">
        <v>33</v>
      </c>
      <c r="B74" s="103" t="s">
        <v>47</v>
      </c>
      <c r="C74" s="48" t="s">
        <v>146</v>
      </c>
      <c r="D74" s="139" t="s">
        <v>37</v>
      </c>
      <c r="E74" s="105">
        <f t="shared" ref="E74:E76" si="628">SUM(F74,H74)</f>
        <v>0.9</v>
      </c>
      <c r="F74" s="106">
        <v>0.9</v>
      </c>
      <c r="G74" s="107"/>
      <c r="H74" s="108"/>
      <c r="I74" s="105">
        <f t="shared" ref="I74:I76" si="629">SUM(J74,L74)</f>
        <v>0</v>
      </c>
      <c r="J74" s="106"/>
      <c r="K74" s="107"/>
      <c r="L74" s="108"/>
      <c r="M74" s="105">
        <f t="shared" ref="M74:M76" si="630">SUM(N74,P74)</f>
        <v>0</v>
      </c>
      <c r="N74" s="106"/>
      <c r="O74" s="107"/>
      <c r="P74" s="108"/>
      <c r="Q74" s="105">
        <f t="shared" ref="Q74:Q76" si="631">SUM(R74,T74)</f>
        <v>0</v>
      </c>
      <c r="R74" s="106"/>
      <c r="S74" s="107"/>
      <c r="T74" s="108"/>
      <c r="U74" s="105">
        <f t="shared" si="620"/>
        <v>0.9</v>
      </c>
      <c r="V74" s="106">
        <f t="shared" si="621"/>
        <v>0.9</v>
      </c>
      <c r="W74" s="107">
        <f t="shared" si="622"/>
        <v>0</v>
      </c>
      <c r="X74" s="108">
        <f t="shared" si="623"/>
        <v>0</v>
      </c>
      <c r="Y74" s="105">
        <f t="shared" si="624"/>
        <v>0</v>
      </c>
      <c r="Z74" s="106">
        <f t="shared" si="625"/>
        <v>0</v>
      </c>
      <c r="AA74" s="107">
        <f t="shared" si="626"/>
        <v>0</v>
      </c>
      <c r="AB74" s="108">
        <f t="shared" si="627"/>
        <v>0</v>
      </c>
      <c r="AC74" s="105">
        <f t="shared" ref="AC74:AC76" si="632">SUM(AD74,AF74)</f>
        <v>0</v>
      </c>
      <c r="AD74" s="106"/>
      <c r="AE74" s="107"/>
      <c r="AF74" s="108"/>
      <c r="AG74" s="105">
        <f t="shared" ref="AG74:AG76" si="633">SUM(AH74,AJ74)</f>
        <v>0</v>
      </c>
      <c r="AH74" s="106"/>
      <c r="AI74" s="107"/>
      <c r="AJ74" s="108"/>
      <c r="AK74" s="105">
        <f t="shared" si="564"/>
        <v>0.9</v>
      </c>
      <c r="AL74" s="106">
        <f t="shared" si="565"/>
        <v>0.9</v>
      </c>
      <c r="AM74" s="107">
        <f t="shared" si="566"/>
        <v>0</v>
      </c>
      <c r="AN74" s="108">
        <f t="shared" si="567"/>
        <v>0</v>
      </c>
      <c r="AO74" s="105">
        <f t="shared" si="568"/>
        <v>0</v>
      </c>
      <c r="AP74" s="106">
        <f t="shared" si="569"/>
        <v>0</v>
      </c>
      <c r="AQ74" s="107">
        <f t="shared" si="570"/>
        <v>0</v>
      </c>
      <c r="AR74" s="108">
        <f t="shared" si="571"/>
        <v>0</v>
      </c>
      <c r="AS74" s="105">
        <f t="shared" ref="AS74:AS76" si="634">SUM(AT74,AV74)</f>
        <v>0</v>
      </c>
      <c r="AT74" s="106"/>
      <c r="AU74" s="107"/>
      <c r="AV74" s="108"/>
      <c r="AW74" s="105">
        <f t="shared" ref="AW74:AW76" si="635">SUM(AX74,AZ74)</f>
        <v>0</v>
      </c>
      <c r="AX74" s="106"/>
      <c r="AY74" s="107"/>
      <c r="AZ74" s="108"/>
      <c r="BA74" s="105">
        <f t="shared" si="572"/>
        <v>0.9</v>
      </c>
      <c r="BB74" s="106">
        <f t="shared" si="573"/>
        <v>0.9</v>
      </c>
      <c r="BC74" s="107">
        <f t="shared" si="574"/>
        <v>0</v>
      </c>
      <c r="BD74" s="108">
        <f t="shared" si="575"/>
        <v>0</v>
      </c>
      <c r="BE74" s="105">
        <f t="shared" si="576"/>
        <v>0</v>
      </c>
      <c r="BF74" s="106">
        <f t="shared" si="577"/>
        <v>0</v>
      </c>
      <c r="BG74" s="107">
        <f t="shared" si="578"/>
        <v>0</v>
      </c>
      <c r="BH74" s="108">
        <f t="shared" si="579"/>
        <v>0</v>
      </c>
      <c r="BI74" s="105">
        <f t="shared" ref="BI74:BI76" si="636">SUM(BJ74,BL74)</f>
        <v>0</v>
      </c>
      <c r="BJ74" s="106"/>
      <c r="BK74" s="107"/>
      <c r="BL74" s="108"/>
      <c r="BM74" s="105">
        <f t="shared" ref="BM74:BM76" si="637">SUM(BN74,BP74)</f>
        <v>0</v>
      </c>
      <c r="BN74" s="106"/>
      <c r="BO74" s="107"/>
      <c r="BP74" s="108"/>
      <c r="BQ74" s="105">
        <f t="shared" si="580"/>
        <v>0.9</v>
      </c>
      <c r="BR74" s="106">
        <f t="shared" si="581"/>
        <v>0.9</v>
      </c>
      <c r="BS74" s="107">
        <f t="shared" si="582"/>
        <v>0</v>
      </c>
      <c r="BT74" s="108">
        <f t="shared" si="583"/>
        <v>0</v>
      </c>
      <c r="BU74" s="105">
        <f t="shared" si="584"/>
        <v>0</v>
      </c>
      <c r="BV74" s="106">
        <f t="shared" si="585"/>
        <v>0</v>
      </c>
      <c r="BW74" s="107">
        <f t="shared" si="586"/>
        <v>0</v>
      </c>
      <c r="BX74" s="108">
        <f t="shared" si="587"/>
        <v>0</v>
      </c>
      <c r="BY74" s="164">
        <f t="shared" ref="BY74:BY76" si="638">SUM(BZ74,CB74)</f>
        <v>0</v>
      </c>
      <c r="BZ74" s="147"/>
      <c r="CA74" s="161"/>
      <c r="CB74" s="162"/>
      <c r="CC74" s="164">
        <f t="shared" ref="CC74:CC76" si="639">SUM(CD74,CF74)</f>
        <v>0</v>
      </c>
      <c r="CD74" s="147"/>
      <c r="CE74" s="161"/>
      <c r="CF74" s="162"/>
      <c r="CG74" s="105">
        <f t="shared" si="588"/>
        <v>0.9</v>
      </c>
      <c r="CH74" s="106">
        <f t="shared" si="589"/>
        <v>0.9</v>
      </c>
      <c r="CI74" s="107">
        <f t="shared" si="590"/>
        <v>0</v>
      </c>
      <c r="CJ74" s="108">
        <f t="shared" si="591"/>
        <v>0</v>
      </c>
      <c r="CK74" s="105">
        <f t="shared" si="592"/>
        <v>0</v>
      </c>
      <c r="CL74" s="106">
        <f t="shared" si="593"/>
        <v>0</v>
      </c>
      <c r="CM74" s="107">
        <f t="shared" si="594"/>
        <v>0</v>
      </c>
      <c r="CN74" s="108">
        <f t="shared" si="595"/>
        <v>0</v>
      </c>
      <c r="CO74" s="164">
        <f t="shared" ref="CO74:CO76" si="640">SUM(CP74,CR74)</f>
        <v>0</v>
      </c>
      <c r="CP74" s="147"/>
      <c r="CQ74" s="161"/>
      <c r="CR74" s="162"/>
      <c r="CS74" s="164">
        <f t="shared" ref="CS74:CS76" si="641">SUM(CT74,CV74)</f>
        <v>0</v>
      </c>
      <c r="CT74" s="147"/>
      <c r="CU74" s="161"/>
      <c r="CV74" s="162"/>
      <c r="CW74" s="105">
        <f t="shared" si="596"/>
        <v>0.9</v>
      </c>
      <c r="CX74" s="106">
        <f t="shared" si="597"/>
        <v>0.9</v>
      </c>
      <c r="CY74" s="107">
        <f t="shared" si="598"/>
        <v>0</v>
      </c>
      <c r="CZ74" s="108">
        <f t="shared" si="599"/>
        <v>0</v>
      </c>
      <c r="DA74" s="105">
        <f t="shared" si="600"/>
        <v>0</v>
      </c>
      <c r="DB74" s="106">
        <f t="shared" si="601"/>
        <v>0</v>
      </c>
      <c r="DC74" s="107">
        <f t="shared" si="602"/>
        <v>0</v>
      </c>
      <c r="DD74" s="108">
        <f t="shared" si="603"/>
        <v>0</v>
      </c>
      <c r="DE74" s="164">
        <f t="shared" ref="DE74:DE76" si="642">SUM(DF74,DH74)</f>
        <v>0</v>
      </c>
      <c r="DF74" s="147"/>
      <c r="DG74" s="161"/>
      <c r="DH74" s="162"/>
      <c r="DI74" s="164">
        <f t="shared" ref="DI74:DI76" si="643">SUM(DJ74,DL74)</f>
        <v>0</v>
      </c>
      <c r="DJ74" s="147"/>
      <c r="DK74" s="161"/>
      <c r="DL74" s="162"/>
      <c r="DM74" s="105">
        <f t="shared" si="604"/>
        <v>0.9</v>
      </c>
      <c r="DN74" s="106">
        <f t="shared" si="605"/>
        <v>0.9</v>
      </c>
      <c r="DO74" s="107">
        <f t="shared" si="606"/>
        <v>0</v>
      </c>
      <c r="DP74" s="108">
        <f t="shared" si="607"/>
        <v>0</v>
      </c>
      <c r="DQ74" s="105">
        <f t="shared" si="608"/>
        <v>0</v>
      </c>
      <c r="DR74" s="106">
        <f t="shared" si="609"/>
        <v>0</v>
      </c>
      <c r="DS74" s="107">
        <f t="shared" si="610"/>
        <v>0</v>
      </c>
      <c r="DT74" s="108">
        <f t="shared" si="611"/>
        <v>0</v>
      </c>
      <c r="DU74" s="164">
        <f t="shared" ref="DU74:DU76" si="644">SUM(DV74,DX74)</f>
        <v>0</v>
      </c>
      <c r="DV74" s="147"/>
      <c r="DW74" s="161"/>
      <c r="DX74" s="162"/>
      <c r="DY74" s="164">
        <f t="shared" ref="DY74:DY76" si="645">SUM(DZ74,EB74)</f>
        <v>0</v>
      </c>
      <c r="DZ74" s="147"/>
      <c r="EA74" s="161"/>
      <c r="EB74" s="162"/>
      <c r="EC74" s="105">
        <f t="shared" si="612"/>
        <v>0.9</v>
      </c>
      <c r="ED74" s="106">
        <f t="shared" si="613"/>
        <v>0.9</v>
      </c>
      <c r="EE74" s="107">
        <f t="shared" si="614"/>
        <v>0</v>
      </c>
      <c r="EF74" s="108">
        <f t="shared" si="615"/>
        <v>0</v>
      </c>
      <c r="EG74" s="105">
        <f t="shared" si="616"/>
        <v>0</v>
      </c>
      <c r="EH74" s="106">
        <f t="shared" si="617"/>
        <v>0</v>
      </c>
      <c r="EI74" s="107">
        <f t="shared" si="618"/>
        <v>0</v>
      </c>
      <c r="EJ74" s="108">
        <f t="shared" si="619"/>
        <v>0</v>
      </c>
      <c r="EK74" s="154">
        <f t="shared" si="0"/>
        <v>-0.16000000000000003</v>
      </c>
      <c r="EL74" s="154">
        <f t="shared" si="1"/>
        <v>-0.16000000000000003</v>
      </c>
      <c r="EM74" s="105">
        <f t="shared" ref="EM74:EM76" si="646">SUM(EN74,EP74)</f>
        <v>0.74</v>
      </c>
      <c r="EN74" s="106">
        <v>0.74</v>
      </c>
      <c r="EO74" s="107"/>
      <c r="EP74" s="108"/>
      <c r="EQ74" s="105">
        <f t="shared" ref="EQ74:EQ76" si="647">SUM(ER74,ET74)</f>
        <v>0</v>
      </c>
      <c r="ER74" s="106"/>
      <c r="ES74" s="107"/>
      <c r="ET74" s="108"/>
    </row>
    <row r="75" spans="1:150" s="4" customFormat="1" ht="21.65" customHeight="1" x14ac:dyDescent="0.25">
      <c r="A75" s="704" t="s">
        <v>7</v>
      </c>
      <c r="B75" s="702" t="s">
        <v>49</v>
      </c>
      <c r="C75" s="48" t="s">
        <v>194</v>
      </c>
      <c r="D75" s="139" t="s">
        <v>37</v>
      </c>
      <c r="E75" s="105">
        <f t="shared" si="628"/>
        <v>10</v>
      </c>
      <c r="F75" s="106"/>
      <c r="G75" s="107"/>
      <c r="H75" s="108">
        <v>10</v>
      </c>
      <c r="I75" s="105">
        <f t="shared" si="629"/>
        <v>0</v>
      </c>
      <c r="J75" s="106"/>
      <c r="K75" s="107"/>
      <c r="L75" s="108"/>
      <c r="M75" s="105">
        <f t="shared" si="630"/>
        <v>0</v>
      </c>
      <c r="N75" s="106"/>
      <c r="O75" s="107"/>
      <c r="P75" s="108"/>
      <c r="Q75" s="105">
        <f t="shared" si="631"/>
        <v>0</v>
      </c>
      <c r="R75" s="106"/>
      <c r="S75" s="107"/>
      <c r="T75" s="108"/>
      <c r="U75" s="105">
        <f t="shared" si="620"/>
        <v>10</v>
      </c>
      <c r="V75" s="106">
        <f t="shared" si="621"/>
        <v>0</v>
      </c>
      <c r="W75" s="107">
        <f t="shared" si="622"/>
        <v>0</v>
      </c>
      <c r="X75" s="108">
        <f t="shared" si="623"/>
        <v>10</v>
      </c>
      <c r="Y75" s="105">
        <f t="shared" si="624"/>
        <v>0</v>
      </c>
      <c r="Z75" s="106">
        <f t="shared" si="625"/>
        <v>0</v>
      </c>
      <c r="AA75" s="107">
        <f t="shared" si="626"/>
        <v>0</v>
      </c>
      <c r="AB75" s="108">
        <f t="shared" si="627"/>
        <v>0</v>
      </c>
      <c r="AC75" s="105">
        <f t="shared" si="632"/>
        <v>0</v>
      </c>
      <c r="AD75" s="106"/>
      <c r="AE75" s="107"/>
      <c r="AF75" s="108"/>
      <c r="AG75" s="105">
        <f t="shared" si="633"/>
        <v>0</v>
      </c>
      <c r="AH75" s="106"/>
      <c r="AI75" s="107"/>
      <c r="AJ75" s="108"/>
      <c r="AK75" s="105">
        <f t="shared" si="564"/>
        <v>10</v>
      </c>
      <c r="AL75" s="106">
        <f t="shared" si="565"/>
        <v>0</v>
      </c>
      <c r="AM75" s="107">
        <f t="shared" si="566"/>
        <v>0</v>
      </c>
      <c r="AN75" s="108">
        <f t="shared" si="567"/>
        <v>10</v>
      </c>
      <c r="AO75" s="105">
        <f t="shared" si="568"/>
        <v>0</v>
      </c>
      <c r="AP75" s="106">
        <f t="shared" si="569"/>
        <v>0</v>
      </c>
      <c r="AQ75" s="107">
        <f t="shared" si="570"/>
        <v>0</v>
      </c>
      <c r="AR75" s="108">
        <f t="shared" si="571"/>
        <v>0</v>
      </c>
      <c r="AS75" s="105">
        <f t="shared" si="634"/>
        <v>40.901000000000003</v>
      </c>
      <c r="AT75" s="106">
        <v>40.901000000000003</v>
      </c>
      <c r="AU75" s="107"/>
      <c r="AV75" s="108"/>
      <c r="AW75" s="105">
        <f t="shared" si="635"/>
        <v>0</v>
      </c>
      <c r="AX75" s="106"/>
      <c r="AY75" s="107"/>
      <c r="AZ75" s="108"/>
      <c r="BA75" s="105">
        <f t="shared" si="572"/>
        <v>50.901000000000003</v>
      </c>
      <c r="BB75" s="106">
        <f t="shared" si="573"/>
        <v>40.901000000000003</v>
      </c>
      <c r="BC75" s="107">
        <f t="shared" si="574"/>
        <v>0</v>
      </c>
      <c r="BD75" s="108">
        <f t="shared" si="575"/>
        <v>10</v>
      </c>
      <c r="BE75" s="105">
        <f t="shared" si="576"/>
        <v>0</v>
      </c>
      <c r="BF75" s="106">
        <f t="shared" si="577"/>
        <v>0</v>
      </c>
      <c r="BG75" s="107">
        <f t="shared" si="578"/>
        <v>0</v>
      </c>
      <c r="BH75" s="108">
        <f t="shared" si="579"/>
        <v>0</v>
      </c>
      <c r="BI75" s="105">
        <f t="shared" si="636"/>
        <v>12.643000000000001</v>
      </c>
      <c r="BJ75" s="106">
        <f>6+6.643</f>
        <v>12.643000000000001</v>
      </c>
      <c r="BK75" s="107"/>
      <c r="BL75" s="108"/>
      <c r="BM75" s="105">
        <f t="shared" si="637"/>
        <v>0</v>
      </c>
      <c r="BN75" s="106"/>
      <c r="BO75" s="107"/>
      <c r="BP75" s="108"/>
      <c r="BQ75" s="105">
        <f t="shared" si="580"/>
        <v>63.544000000000004</v>
      </c>
      <c r="BR75" s="106">
        <f t="shared" si="581"/>
        <v>53.544000000000004</v>
      </c>
      <c r="BS75" s="107">
        <f t="shared" si="582"/>
        <v>0</v>
      </c>
      <c r="BT75" s="108">
        <f t="shared" si="583"/>
        <v>10</v>
      </c>
      <c r="BU75" s="105">
        <f t="shared" si="584"/>
        <v>0</v>
      </c>
      <c r="BV75" s="106">
        <f t="shared" si="585"/>
        <v>0</v>
      </c>
      <c r="BW75" s="107">
        <f t="shared" si="586"/>
        <v>0</v>
      </c>
      <c r="BX75" s="108">
        <f t="shared" si="587"/>
        <v>0</v>
      </c>
      <c r="BY75" s="164">
        <f t="shared" si="638"/>
        <v>0</v>
      </c>
      <c r="BZ75" s="147"/>
      <c r="CA75" s="161"/>
      <c r="CB75" s="162"/>
      <c r="CC75" s="164">
        <f t="shared" si="639"/>
        <v>0</v>
      </c>
      <c r="CD75" s="147"/>
      <c r="CE75" s="161"/>
      <c r="CF75" s="162"/>
      <c r="CG75" s="105">
        <f t="shared" si="588"/>
        <v>63.544000000000004</v>
      </c>
      <c r="CH75" s="106">
        <f t="shared" si="589"/>
        <v>53.544000000000004</v>
      </c>
      <c r="CI75" s="107">
        <f t="shared" si="590"/>
        <v>0</v>
      </c>
      <c r="CJ75" s="108">
        <f t="shared" si="591"/>
        <v>10</v>
      </c>
      <c r="CK75" s="105">
        <f t="shared" si="592"/>
        <v>0</v>
      </c>
      <c r="CL75" s="106">
        <f t="shared" si="593"/>
        <v>0</v>
      </c>
      <c r="CM75" s="107">
        <f t="shared" si="594"/>
        <v>0</v>
      </c>
      <c r="CN75" s="108">
        <f t="shared" si="595"/>
        <v>0</v>
      </c>
      <c r="CO75" s="164">
        <f t="shared" si="640"/>
        <v>0</v>
      </c>
      <c r="CP75" s="147"/>
      <c r="CQ75" s="161"/>
      <c r="CR75" s="162"/>
      <c r="CS75" s="164">
        <f t="shared" si="641"/>
        <v>0</v>
      </c>
      <c r="CT75" s="147"/>
      <c r="CU75" s="161"/>
      <c r="CV75" s="162"/>
      <c r="CW75" s="105">
        <f t="shared" si="596"/>
        <v>63.544000000000004</v>
      </c>
      <c r="CX75" s="106">
        <f t="shared" si="597"/>
        <v>53.544000000000004</v>
      </c>
      <c r="CY75" s="107">
        <f t="shared" si="598"/>
        <v>0</v>
      </c>
      <c r="CZ75" s="108">
        <f t="shared" si="599"/>
        <v>10</v>
      </c>
      <c r="DA75" s="105">
        <f t="shared" si="600"/>
        <v>0</v>
      </c>
      <c r="DB75" s="106">
        <f t="shared" si="601"/>
        <v>0</v>
      </c>
      <c r="DC75" s="107">
        <f t="shared" si="602"/>
        <v>0</v>
      </c>
      <c r="DD75" s="108">
        <f t="shared" si="603"/>
        <v>0</v>
      </c>
      <c r="DE75" s="164">
        <f t="shared" si="642"/>
        <v>0</v>
      </c>
      <c r="DF75" s="147"/>
      <c r="DG75" s="161"/>
      <c r="DH75" s="162"/>
      <c r="DI75" s="164">
        <f t="shared" si="643"/>
        <v>0</v>
      </c>
      <c r="DJ75" s="147"/>
      <c r="DK75" s="161"/>
      <c r="DL75" s="162"/>
      <c r="DM75" s="105">
        <f t="shared" si="604"/>
        <v>63.544000000000004</v>
      </c>
      <c r="DN75" s="106">
        <f t="shared" si="605"/>
        <v>53.544000000000004</v>
      </c>
      <c r="DO75" s="107">
        <f t="shared" si="606"/>
        <v>0</v>
      </c>
      <c r="DP75" s="108">
        <f t="shared" si="607"/>
        <v>10</v>
      </c>
      <c r="DQ75" s="105">
        <f t="shared" si="608"/>
        <v>0</v>
      </c>
      <c r="DR75" s="106">
        <f t="shared" si="609"/>
        <v>0</v>
      </c>
      <c r="DS75" s="107">
        <f t="shared" si="610"/>
        <v>0</v>
      </c>
      <c r="DT75" s="108">
        <f t="shared" si="611"/>
        <v>0</v>
      </c>
      <c r="DU75" s="164">
        <f t="shared" si="644"/>
        <v>0</v>
      </c>
      <c r="DV75" s="147"/>
      <c r="DW75" s="161"/>
      <c r="DX75" s="162"/>
      <c r="DY75" s="164">
        <f t="shared" si="645"/>
        <v>0</v>
      </c>
      <c r="DZ75" s="147"/>
      <c r="EA75" s="161"/>
      <c r="EB75" s="162"/>
      <c r="EC75" s="105">
        <f t="shared" si="612"/>
        <v>63.544000000000004</v>
      </c>
      <c r="ED75" s="106">
        <f t="shared" si="613"/>
        <v>53.544000000000004</v>
      </c>
      <c r="EE75" s="107">
        <f t="shared" si="614"/>
        <v>0</v>
      </c>
      <c r="EF75" s="108">
        <f t="shared" si="615"/>
        <v>10</v>
      </c>
      <c r="EG75" s="105">
        <f t="shared" si="616"/>
        <v>0</v>
      </c>
      <c r="EH75" s="106">
        <f t="shared" si="617"/>
        <v>0</v>
      </c>
      <c r="EI75" s="107">
        <f t="shared" si="618"/>
        <v>0</v>
      </c>
      <c r="EJ75" s="108">
        <f t="shared" si="619"/>
        <v>0</v>
      </c>
      <c r="EK75" s="154">
        <f t="shared" si="0"/>
        <v>-7.5</v>
      </c>
      <c r="EL75" s="154">
        <f t="shared" si="1"/>
        <v>-61.044000000000004</v>
      </c>
      <c r="EM75" s="105">
        <f t="shared" si="646"/>
        <v>2.5</v>
      </c>
      <c r="EN75" s="106"/>
      <c r="EO75" s="107"/>
      <c r="EP75" s="108">
        <v>2.5</v>
      </c>
      <c r="EQ75" s="105">
        <f t="shared" si="647"/>
        <v>0</v>
      </c>
      <c r="ER75" s="106"/>
      <c r="ES75" s="107"/>
      <c r="ET75" s="108"/>
    </row>
    <row r="76" spans="1:150" s="4" customFormat="1" ht="21.65" customHeight="1" x14ac:dyDescent="0.25">
      <c r="A76" s="705"/>
      <c r="B76" s="703"/>
      <c r="C76" s="48" t="s">
        <v>199</v>
      </c>
      <c r="D76" s="139" t="s">
        <v>52</v>
      </c>
      <c r="E76" s="105">
        <f t="shared" si="628"/>
        <v>6</v>
      </c>
      <c r="F76" s="106">
        <f>J76</f>
        <v>0</v>
      </c>
      <c r="G76" s="107"/>
      <c r="H76" s="108">
        <f>L76</f>
        <v>6</v>
      </c>
      <c r="I76" s="105">
        <f t="shared" si="629"/>
        <v>6</v>
      </c>
      <c r="J76" s="106"/>
      <c r="K76" s="107"/>
      <c r="L76" s="108">
        <v>6</v>
      </c>
      <c r="M76" s="105">
        <f t="shared" si="630"/>
        <v>0</v>
      </c>
      <c r="N76" s="106"/>
      <c r="O76" s="107"/>
      <c r="P76" s="108"/>
      <c r="Q76" s="105">
        <f t="shared" si="631"/>
        <v>0</v>
      </c>
      <c r="R76" s="106"/>
      <c r="S76" s="107"/>
      <c r="T76" s="108"/>
      <c r="U76" s="105">
        <f t="shared" si="620"/>
        <v>6</v>
      </c>
      <c r="V76" s="106">
        <f t="shared" si="621"/>
        <v>0</v>
      </c>
      <c r="W76" s="107">
        <f t="shared" si="622"/>
        <v>0</v>
      </c>
      <c r="X76" s="108">
        <f t="shared" si="623"/>
        <v>6</v>
      </c>
      <c r="Y76" s="105">
        <f t="shared" si="624"/>
        <v>6</v>
      </c>
      <c r="Z76" s="106">
        <f t="shared" si="625"/>
        <v>0</v>
      </c>
      <c r="AA76" s="107">
        <f t="shared" si="626"/>
        <v>0</v>
      </c>
      <c r="AB76" s="108">
        <f t="shared" si="627"/>
        <v>6</v>
      </c>
      <c r="AC76" s="105">
        <f t="shared" si="632"/>
        <v>0</v>
      </c>
      <c r="AD76" s="106"/>
      <c r="AE76" s="107"/>
      <c r="AF76" s="108"/>
      <c r="AG76" s="105">
        <f t="shared" si="633"/>
        <v>0</v>
      </c>
      <c r="AH76" s="106"/>
      <c r="AI76" s="107"/>
      <c r="AJ76" s="108"/>
      <c r="AK76" s="105">
        <f t="shared" si="564"/>
        <v>6</v>
      </c>
      <c r="AL76" s="106">
        <f t="shared" si="565"/>
        <v>0</v>
      </c>
      <c r="AM76" s="107">
        <f t="shared" si="566"/>
        <v>0</v>
      </c>
      <c r="AN76" s="108">
        <f t="shared" si="567"/>
        <v>6</v>
      </c>
      <c r="AO76" s="105">
        <f t="shared" si="568"/>
        <v>6</v>
      </c>
      <c r="AP76" s="106">
        <f t="shared" si="569"/>
        <v>0</v>
      </c>
      <c r="AQ76" s="107">
        <f t="shared" si="570"/>
        <v>0</v>
      </c>
      <c r="AR76" s="108">
        <f t="shared" si="571"/>
        <v>6</v>
      </c>
      <c r="AS76" s="105">
        <f t="shared" si="634"/>
        <v>0</v>
      </c>
      <c r="AT76" s="106"/>
      <c r="AU76" s="107"/>
      <c r="AV76" s="108"/>
      <c r="AW76" s="105">
        <f t="shared" si="635"/>
        <v>0</v>
      </c>
      <c r="AX76" s="106"/>
      <c r="AY76" s="107"/>
      <c r="AZ76" s="108"/>
      <c r="BA76" s="105">
        <f t="shared" si="572"/>
        <v>6</v>
      </c>
      <c r="BB76" s="106">
        <f t="shared" si="573"/>
        <v>0</v>
      </c>
      <c r="BC76" s="107">
        <f t="shared" si="574"/>
        <v>0</v>
      </c>
      <c r="BD76" s="108">
        <f t="shared" si="575"/>
        <v>6</v>
      </c>
      <c r="BE76" s="105">
        <f t="shared" si="576"/>
        <v>6</v>
      </c>
      <c r="BF76" s="106">
        <f t="shared" si="577"/>
        <v>0</v>
      </c>
      <c r="BG76" s="107">
        <f t="shared" si="578"/>
        <v>0</v>
      </c>
      <c r="BH76" s="108">
        <f t="shared" si="579"/>
        <v>6</v>
      </c>
      <c r="BI76" s="105">
        <f t="shared" si="636"/>
        <v>0</v>
      </c>
      <c r="BJ76" s="106"/>
      <c r="BK76" s="107"/>
      <c r="BL76" s="108"/>
      <c r="BM76" s="105">
        <f t="shared" si="637"/>
        <v>0</v>
      </c>
      <c r="BN76" s="106"/>
      <c r="BO76" s="107"/>
      <c r="BP76" s="108"/>
      <c r="BQ76" s="105">
        <f t="shared" si="580"/>
        <v>6</v>
      </c>
      <c r="BR76" s="106">
        <f t="shared" si="581"/>
        <v>0</v>
      </c>
      <c r="BS76" s="107">
        <f t="shared" si="582"/>
        <v>0</v>
      </c>
      <c r="BT76" s="108">
        <f t="shared" si="583"/>
        <v>6</v>
      </c>
      <c r="BU76" s="105">
        <f t="shared" si="584"/>
        <v>6</v>
      </c>
      <c r="BV76" s="106">
        <f t="shared" si="585"/>
        <v>0</v>
      </c>
      <c r="BW76" s="107">
        <f t="shared" si="586"/>
        <v>0</v>
      </c>
      <c r="BX76" s="108">
        <f t="shared" si="587"/>
        <v>6</v>
      </c>
      <c r="BY76" s="164">
        <f t="shared" si="638"/>
        <v>0</v>
      </c>
      <c r="BZ76" s="147"/>
      <c r="CA76" s="161"/>
      <c r="CB76" s="162"/>
      <c r="CC76" s="164">
        <f t="shared" si="639"/>
        <v>0</v>
      </c>
      <c r="CD76" s="147"/>
      <c r="CE76" s="161"/>
      <c r="CF76" s="162"/>
      <c r="CG76" s="105">
        <f t="shared" si="588"/>
        <v>6</v>
      </c>
      <c r="CH76" s="106">
        <f t="shared" si="589"/>
        <v>0</v>
      </c>
      <c r="CI76" s="107">
        <f t="shared" si="590"/>
        <v>0</v>
      </c>
      <c r="CJ76" s="108">
        <f t="shared" si="591"/>
        <v>6</v>
      </c>
      <c r="CK76" s="105">
        <f t="shared" si="592"/>
        <v>6</v>
      </c>
      <c r="CL76" s="106">
        <f t="shared" si="593"/>
        <v>0</v>
      </c>
      <c r="CM76" s="107">
        <f t="shared" si="594"/>
        <v>0</v>
      </c>
      <c r="CN76" s="108">
        <f t="shared" si="595"/>
        <v>6</v>
      </c>
      <c r="CO76" s="164">
        <f t="shared" si="640"/>
        <v>0</v>
      </c>
      <c r="CP76" s="147"/>
      <c r="CQ76" s="161"/>
      <c r="CR76" s="162"/>
      <c r="CS76" s="164">
        <f t="shared" si="641"/>
        <v>0</v>
      </c>
      <c r="CT76" s="147"/>
      <c r="CU76" s="161"/>
      <c r="CV76" s="162"/>
      <c r="CW76" s="105">
        <f t="shared" si="596"/>
        <v>6</v>
      </c>
      <c r="CX76" s="106">
        <f t="shared" si="597"/>
        <v>0</v>
      </c>
      <c r="CY76" s="107">
        <f t="shared" si="598"/>
        <v>0</v>
      </c>
      <c r="CZ76" s="108">
        <f t="shared" si="599"/>
        <v>6</v>
      </c>
      <c r="DA76" s="105">
        <f t="shared" si="600"/>
        <v>6</v>
      </c>
      <c r="DB76" s="106">
        <f t="shared" si="601"/>
        <v>0</v>
      </c>
      <c r="DC76" s="107">
        <f t="shared" si="602"/>
        <v>0</v>
      </c>
      <c r="DD76" s="108">
        <f t="shared" si="603"/>
        <v>6</v>
      </c>
      <c r="DE76" s="164">
        <f t="shared" si="642"/>
        <v>0</v>
      </c>
      <c r="DF76" s="147"/>
      <c r="DG76" s="161"/>
      <c r="DH76" s="162"/>
      <c r="DI76" s="164">
        <f t="shared" si="643"/>
        <v>0</v>
      </c>
      <c r="DJ76" s="147"/>
      <c r="DK76" s="161"/>
      <c r="DL76" s="162"/>
      <c r="DM76" s="105">
        <f t="shared" si="604"/>
        <v>6</v>
      </c>
      <c r="DN76" s="106">
        <f t="shared" si="605"/>
        <v>0</v>
      </c>
      <c r="DO76" s="107">
        <f t="shared" si="606"/>
        <v>0</v>
      </c>
      <c r="DP76" s="108">
        <f t="shared" si="607"/>
        <v>6</v>
      </c>
      <c r="DQ76" s="105">
        <f t="shared" si="608"/>
        <v>6</v>
      </c>
      <c r="DR76" s="106">
        <f t="shared" si="609"/>
        <v>0</v>
      </c>
      <c r="DS76" s="107">
        <f t="shared" si="610"/>
        <v>0</v>
      </c>
      <c r="DT76" s="108">
        <f t="shared" si="611"/>
        <v>6</v>
      </c>
      <c r="DU76" s="164">
        <f t="shared" si="644"/>
        <v>0</v>
      </c>
      <c r="DV76" s="147"/>
      <c r="DW76" s="161"/>
      <c r="DX76" s="162"/>
      <c r="DY76" s="164">
        <f t="shared" si="645"/>
        <v>0</v>
      </c>
      <c r="DZ76" s="147"/>
      <c r="EA76" s="161"/>
      <c r="EB76" s="162"/>
      <c r="EC76" s="105">
        <f t="shared" si="612"/>
        <v>6</v>
      </c>
      <c r="ED76" s="106">
        <f t="shared" si="613"/>
        <v>0</v>
      </c>
      <c r="EE76" s="107">
        <f t="shared" si="614"/>
        <v>0</v>
      </c>
      <c r="EF76" s="108">
        <f t="shared" si="615"/>
        <v>6</v>
      </c>
      <c r="EG76" s="105">
        <f t="shared" si="616"/>
        <v>6</v>
      </c>
      <c r="EH76" s="106">
        <f t="shared" si="617"/>
        <v>0</v>
      </c>
      <c r="EI76" s="107">
        <f t="shared" si="618"/>
        <v>0</v>
      </c>
      <c r="EJ76" s="108">
        <f t="shared" si="619"/>
        <v>6</v>
      </c>
      <c r="EK76" s="154">
        <f t="shared" ref="EK76:EK140" si="648">EM76-E76</f>
        <v>-6</v>
      </c>
      <c r="EL76" s="154">
        <f t="shared" ref="EL76:EL140" si="649">EM76-EC76</f>
        <v>-6</v>
      </c>
      <c r="EM76" s="105">
        <f t="shared" si="646"/>
        <v>0</v>
      </c>
      <c r="EN76" s="106">
        <f>ER76</f>
        <v>0</v>
      </c>
      <c r="EO76" s="107"/>
      <c r="EP76" s="108">
        <f>ET76</f>
        <v>0</v>
      </c>
      <c r="EQ76" s="105">
        <f t="shared" si="647"/>
        <v>0</v>
      </c>
      <c r="ER76" s="106"/>
      <c r="ES76" s="107"/>
      <c r="ET76" s="108"/>
    </row>
    <row r="77" spans="1:150" ht="28.25" customHeight="1" x14ac:dyDescent="0.3">
      <c r="A77" s="46"/>
      <c r="B77" s="33" t="s">
        <v>10</v>
      </c>
      <c r="C77" s="47" t="s">
        <v>162</v>
      </c>
      <c r="D77" s="94"/>
      <c r="E77" s="148">
        <f>SUM(F77,H77)</f>
        <v>335.01599999999996</v>
      </c>
      <c r="F77" s="149">
        <f>SUM(F79:F82)</f>
        <v>302.63599999999997</v>
      </c>
      <c r="G77" s="150">
        <f>SUM(G79:G82)</f>
        <v>201.46</v>
      </c>
      <c r="H77" s="151">
        <f>SUM(H79:H82)</f>
        <v>32.379999999999995</v>
      </c>
      <c r="I77" s="148">
        <f>SUM(J77,L77)</f>
        <v>26.605999999999998</v>
      </c>
      <c r="J77" s="149">
        <f>SUM(J79:J81)</f>
        <v>0.22600000000000001</v>
      </c>
      <c r="K77" s="150">
        <f>SUM(K79:K81)</f>
        <v>0</v>
      </c>
      <c r="L77" s="151">
        <f>SUM(L79:L82)</f>
        <v>26.38</v>
      </c>
      <c r="M77" s="148">
        <f>SUM(N77,P77)</f>
        <v>0</v>
      </c>
      <c r="N77" s="149">
        <f>SUM(N79:N82)</f>
        <v>0</v>
      </c>
      <c r="O77" s="150">
        <f>SUM(O79:O82)</f>
        <v>0</v>
      </c>
      <c r="P77" s="151">
        <f>SUM(P79:P82)</f>
        <v>0</v>
      </c>
      <c r="Q77" s="148">
        <f>SUM(R77,T77)</f>
        <v>0</v>
      </c>
      <c r="R77" s="149">
        <f>SUM(R79:R81)</f>
        <v>0</v>
      </c>
      <c r="S77" s="150">
        <f>SUM(S79:S81)</f>
        <v>0</v>
      </c>
      <c r="T77" s="151">
        <f>SUM(T79:T82)</f>
        <v>0</v>
      </c>
      <c r="U77" s="148">
        <f>SUM(V77,X77)</f>
        <v>335.01599999999996</v>
      </c>
      <c r="V77" s="149">
        <f>SUM(V79:V82)</f>
        <v>302.63599999999997</v>
      </c>
      <c r="W77" s="150">
        <f>SUM(W79:W82)</f>
        <v>201.46</v>
      </c>
      <c r="X77" s="151">
        <f>SUM(X79:X82)</f>
        <v>32.379999999999995</v>
      </c>
      <c r="Y77" s="148">
        <f>SUM(Z77,AB77)</f>
        <v>26.605999999999998</v>
      </c>
      <c r="Z77" s="149">
        <f>SUM(Z79:Z81)</f>
        <v>0.22600000000000001</v>
      </c>
      <c r="AA77" s="150">
        <f>SUM(AA79:AA81)</f>
        <v>0</v>
      </c>
      <c r="AB77" s="151">
        <f>SUM(AB79:AB82)</f>
        <v>26.38</v>
      </c>
      <c r="AC77" s="148">
        <f>SUM(AD77,AF77)</f>
        <v>0</v>
      </c>
      <c r="AD77" s="149">
        <f>SUM(AD79:AD82)</f>
        <v>-0.55000000000000004</v>
      </c>
      <c r="AE77" s="150">
        <f>SUM(AE79:AE82)</f>
        <v>-0.5</v>
      </c>
      <c r="AF77" s="151">
        <f>SUM(AF79:AF83)</f>
        <v>0.55000000000000004</v>
      </c>
      <c r="AG77" s="148">
        <f>SUM(AH77,AJ77)</f>
        <v>0</v>
      </c>
      <c r="AH77" s="149">
        <f>SUM(AH79:AH81)</f>
        <v>0</v>
      </c>
      <c r="AI77" s="150">
        <f>SUM(AI79:AI81)</f>
        <v>0</v>
      </c>
      <c r="AJ77" s="151">
        <f>SUM(AJ79:AJ82)</f>
        <v>0</v>
      </c>
      <c r="AK77" s="148">
        <f>SUM(AL77,AN77)</f>
        <v>335.01599999999996</v>
      </c>
      <c r="AL77" s="149">
        <f>SUM(AL79:AL83)</f>
        <v>302.08599999999996</v>
      </c>
      <c r="AM77" s="150">
        <f>SUM(AM79:AM82)</f>
        <v>200.96</v>
      </c>
      <c r="AN77" s="151">
        <f>SUM(AN79:AN83)</f>
        <v>32.929999999999993</v>
      </c>
      <c r="AO77" s="148">
        <f>SUM(AP77,AR77)</f>
        <v>26.605999999999998</v>
      </c>
      <c r="AP77" s="149">
        <f>SUM(AP79:AP81)</f>
        <v>0.22600000000000001</v>
      </c>
      <c r="AQ77" s="150">
        <f>SUM(AQ79:AQ81)</f>
        <v>0</v>
      </c>
      <c r="AR77" s="151">
        <f>SUM(AR79:AR82)</f>
        <v>26.38</v>
      </c>
      <c r="AS77" s="148">
        <f>SUM(AT77,AV77)</f>
        <v>1.6859999999999999</v>
      </c>
      <c r="AT77" s="149">
        <f>SUM(AT79:AT82)</f>
        <v>1.6859999999999999</v>
      </c>
      <c r="AU77" s="150">
        <f>SUM(AU79:AU82)</f>
        <v>1.6619999999999999</v>
      </c>
      <c r="AV77" s="151">
        <f>SUM(AV79:AV83)</f>
        <v>0</v>
      </c>
      <c r="AW77" s="148">
        <f>SUM(AX77,AZ77)</f>
        <v>0</v>
      </c>
      <c r="AX77" s="149">
        <f>SUM(AX79:AX81)</f>
        <v>0</v>
      </c>
      <c r="AY77" s="150">
        <f>SUM(AY79:AY81)</f>
        <v>0</v>
      </c>
      <c r="AZ77" s="151">
        <f>SUM(AZ79:AZ82)</f>
        <v>0</v>
      </c>
      <c r="BA77" s="148">
        <f>SUM(BB77,BD77)</f>
        <v>336.702</v>
      </c>
      <c r="BB77" s="149">
        <f>SUM(BB79:BB83)</f>
        <v>303.77199999999999</v>
      </c>
      <c r="BC77" s="150">
        <f>SUM(BC79:BC82)</f>
        <v>202.62200000000001</v>
      </c>
      <c r="BD77" s="151">
        <f>SUM(BD79:BD83)</f>
        <v>32.929999999999993</v>
      </c>
      <c r="BE77" s="148">
        <f>SUM(BF77,BH77)</f>
        <v>26.605999999999998</v>
      </c>
      <c r="BF77" s="149">
        <f>SUM(BF79:BF81)</f>
        <v>0.22600000000000001</v>
      </c>
      <c r="BG77" s="150">
        <f>SUM(BG79:BG81)</f>
        <v>0</v>
      </c>
      <c r="BH77" s="151">
        <f>SUM(BH79:BH82)</f>
        <v>26.38</v>
      </c>
      <c r="BI77" s="148">
        <f>SUM(BJ77,BL77)</f>
        <v>0</v>
      </c>
      <c r="BJ77" s="149">
        <f>SUM(BJ79:BJ82)</f>
        <v>0</v>
      </c>
      <c r="BK77" s="150">
        <f>SUM(BK79:BK82)</f>
        <v>0</v>
      </c>
      <c r="BL77" s="151">
        <f>SUM(BL79:BL83)</f>
        <v>0</v>
      </c>
      <c r="BM77" s="148">
        <f>SUM(BN77,BP77)</f>
        <v>0</v>
      </c>
      <c r="BN77" s="149">
        <f>SUM(BN79:BN81)</f>
        <v>0</v>
      </c>
      <c r="BO77" s="150">
        <f>SUM(BO79:BO81)</f>
        <v>0</v>
      </c>
      <c r="BP77" s="151">
        <f>SUM(BP79:BP82)</f>
        <v>0</v>
      </c>
      <c r="BQ77" s="148">
        <f>SUM(BR77,BT77)</f>
        <v>336.702</v>
      </c>
      <c r="BR77" s="149">
        <f>SUM(BR79:BR83)</f>
        <v>303.77199999999999</v>
      </c>
      <c r="BS77" s="150">
        <f>SUM(BS79:BS82)</f>
        <v>202.62200000000001</v>
      </c>
      <c r="BT77" s="151">
        <f>SUM(BT79:BT83)</f>
        <v>32.929999999999993</v>
      </c>
      <c r="BU77" s="148">
        <f>SUM(BV77,BX77)</f>
        <v>26.605999999999998</v>
      </c>
      <c r="BV77" s="149">
        <f>SUM(BV79:BV81)</f>
        <v>0.22600000000000001</v>
      </c>
      <c r="BW77" s="150">
        <f>SUM(BW79:BW81)</f>
        <v>0</v>
      </c>
      <c r="BX77" s="151">
        <f>SUM(BX79:BX82)</f>
        <v>26.38</v>
      </c>
      <c r="BY77" s="175">
        <f>SUM(BZ77,CB77)</f>
        <v>0</v>
      </c>
      <c r="BZ77" s="176">
        <f>SUM(BZ79:BZ82)</f>
        <v>0</v>
      </c>
      <c r="CA77" s="177">
        <f>SUM(CA79:CA82)</f>
        <v>-1.4</v>
      </c>
      <c r="CB77" s="178">
        <f>SUM(CB79:CB83)</f>
        <v>0</v>
      </c>
      <c r="CC77" s="175">
        <f>SUM(CD77,CF77)</f>
        <v>0</v>
      </c>
      <c r="CD77" s="176">
        <f>SUM(CD79:CD81)</f>
        <v>0</v>
      </c>
      <c r="CE77" s="177">
        <f>SUM(CE79:CE81)</f>
        <v>0</v>
      </c>
      <c r="CF77" s="178">
        <f>SUM(CF79:CF82)</f>
        <v>0</v>
      </c>
      <c r="CG77" s="148">
        <f>SUM(CH77,CJ77)</f>
        <v>336.702</v>
      </c>
      <c r="CH77" s="149">
        <f>SUM(CH79:CH83)</f>
        <v>303.77199999999999</v>
      </c>
      <c r="CI77" s="150">
        <f>SUM(CI79:CI82)</f>
        <v>201.22200000000001</v>
      </c>
      <c r="CJ77" s="151">
        <f>SUM(CJ79:CJ83)</f>
        <v>32.929999999999993</v>
      </c>
      <c r="CK77" s="148">
        <f>SUM(CL77,CN77)</f>
        <v>26.605999999999998</v>
      </c>
      <c r="CL77" s="149">
        <f>SUM(CL79:CL81)</f>
        <v>0.22600000000000001</v>
      </c>
      <c r="CM77" s="150">
        <f>SUM(CM79:CM81)</f>
        <v>0</v>
      </c>
      <c r="CN77" s="151">
        <f>SUM(CN79:CN82)</f>
        <v>26.38</v>
      </c>
      <c r="CO77" s="175">
        <f>SUM(CP77,CR77)</f>
        <v>13.552</v>
      </c>
      <c r="CP77" s="176">
        <f>SUM(CP79:CP82)</f>
        <v>13.552</v>
      </c>
      <c r="CQ77" s="177">
        <f>SUM(CQ79:CQ82)</f>
        <v>0</v>
      </c>
      <c r="CR77" s="178">
        <f>SUM(CR79:CR83)</f>
        <v>0</v>
      </c>
      <c r="CS77" s="175">
        <f>SUM(CT77,CV77)</f>
        <v>0</v>
      </c>
      <c r="CT77" s="176">
        <f>SUM(CT79:CT81)</f>
        <v>0</v>
      </c>
      <c r="CU77" s="177">
        <f>SUM(CU79:CU81)</f>
        <v>0</v>
      </c>
      <c r="CV77" s="178">
        <f>SUM(CV79:CV82)</f>
        <v>0</v>
      </c>
      <c r="CW77" s="148">
        <f>SUM(CX77,CZ77)</f>
        <v>350.25400000000002</v>
      </c>
      <c r="CX77" s="149">
        <f>SUM(CX79:CX83)</f>
        <v>317.32400000000001</v>
      </c>
      <c r="CY77" s="150">
        <f>SUM(CY79:CY82)</f>
        <v>201.22200000000001</v>
      </c>
      <c r="CZ77" s="151">
        <f>SUM(CZ79:CZ83)</f>
        <v>32.929999999999993</v>
      </c>
      <c r="DA77" s="148">
        <f>SUM(DB77,DD77)</f>
        <v>26.605999999999998</v>
      </c>
      <c r="DB77" s="149">
        <f>SUM(DB79:DB81)</f>
        <v>0.22600000000000001</v>
      </c>
      <c r="DC77" s="150">
        <f>SUM(DC79:DC81)</f>
        <v>0</v>
      </c>
      <c r="DD77" s="151">
        <f>SUM(DD79:DD82)</f>
        <v>26.38</v>
      </c>
      <c r="DE77" s="175">
        <f>SUM(DF77,DH77)</f>
        <v>1.1120000000000001</v>
      </c>
      <c r="DF77" s="176">
        <f>SUM(DF79:DF82)</f>
        <v>1.1120000000000001</v>
      </c>
      <c r="DG77" s="177">
        <f>SUM(DG79:DG82)</f>
        <v>0.64100000000000001</v>
      </c>
      <c r="DH77" s="178">
        <f>SUM(DH79:DH83)</f>
        <v>0</v>
      </c>
      <c r="DI77" s="175">
        <f>SUM(DJ77,DL77)</f>
        <v>0</v>
      </c>
      <c r="DJ77" s="176">
        <f>SUM(DJ79:DJ81)</f>
        <v>0</v>
      </c>
      <c r="DK77" s="177">
        <f>SUM(DK79:DK81)</f>
        <v>0</v>
      </c>
      <c r="DL77" s="178">
        <f>SUM(DL79:DL82)</f>
        <v>0</v>
      </c>
      <c r="DM77" s="148">
        <f>SUM(DN77,DP77)</f>
        <v>351.36599999999999</v>
      </c>
      <c r="DN77" s="149">
        <f>SUM(DN79:DN83)</f>
        <v>318.43599999999998</v>
      </c>
      <c r="DO77" s="150">
        <f>SUM(DO79:DO82)</f>
        <v>201.863</v>
      </c>
      <c r="DP77" s="151">
        <f>SUM(DP79:DP83)</f>
        <v>32.929999999999993</v>
      </c>
      <c r="DQ77" s="148">
        <f>SUM(DR77,DT77)</f>
        <v>26.605999999999998</v>
      </c>
      <c r="DR77" s="149">
        <f>SUM(DR79:DR81)</f>
        <v>0.22600000000000001</v>
      </c>
      <c r="DS77" s="150">
        <f>SUM(DS79:DS81)</f>
        <v>0</v>
      </c>
      <c r="DT77" s="151">
        <f>SUM(DT79:DT82)</f>
        <v>26.38</v>
      </c>
      <c r="DU77" s="175">
        <f>SUM(DV77,DX77)</f>
        <v>3.734</v>
      </c>
      <c r="DV77" s="176">
        <f>SUM(DV79:DV82)</f>
        <v>3.734</v>
      </c>
      <c r="DW77" s="177">
        <f>SUM(DW79:DW82)</f>
        <v>-1.48</v>
      </c>
      <c r="DX77" s="178">
        <f>SUM(DX79:DX83)</f>
        <v>0</v>
      </c>
      <c r="DY77" s="175">
        <f>SUM(DZ77,EB77)</f>
        <v>0</v>
      </c>
      <c r="DZ77" s="176">
        <f>SUM(DZ79:DZ81)</f>
        <v>0</v>
      </c>
      <c r="EA77" s="177">
        <f>SUM(EA79:EA81)</f>
        <v>0</v>
      </c>
      <c r="EB77" s="178">
        <f>SUM(EB79:EB82)</f>
        <v>0</v>
      </c>
      <c r="EC77" s="148">
        <f>SUM(ED77,EF77)</f>
        <v>355.09999999999997</v>
      </c>
      <c r="ED77" s="149">
        <f>SUM(ED79:ED83)</f>
        <v>322.16999999999996</v>
      </c>
      <c r="EE77" s="150">
        <f>SUM(EE79:EE82)</f>
        <v>200.38300000000001</v>
      </c>
      <c r="EF77" s="151">
        <f>SUM(EF79:EF83)</f>
        <v>32.929999999999993</v>
      </c>
      <c r="EG77" s="148">
        <f>SUM(EH77,EJ77)</f>
        <v>26.605999999999998</v>
      </c>
      <c r="EH77" s="149">
        <f>SUM(EH79:EH81)</f>
        <v>0.22600000000000001</v>
      </c>
      <c r="EI77" s="150">
        <f>SUM(EI79:EI81)</f>
        <v>0</v>
      </c>
      <c r="EJ77" s="151">
        <f>SUM(EJ79:EJ82)</f>
        <v>26.38</v>
      </c>
      <c r="EK77" s="152">
        <f t="shared" si="648"/>
        <v>-11.033999999999992</v>
      </c>
      <c r="EL77" s="152">
        <f t="shared" si="649"/>
        <v>-31.117999999999995</v>
      </c>
      <c r="EM77" s="148">
        <f>SUM(EN77,EP77)</f>
        <v>323.98199999999997</v>
      </c>
      <c r="EN77" s="149">
        <f>SUM(EN79:EN83)</f>
        <v>318.98199999999997</v>
      </c>
      <c r="EO77" s="150">
        <f>SUM(EO79:EO83)</f>
        <v>222.08499999999998</v>
      </c>
      <c r="EP77" s="151">
        <f>SUM(EP79:EP83)</f>
        <v>5</v>
      </c>
      <c r="EQ77" s="148">
        <f>SUM(ER77,ET77)</f>
        <v>11.222</v>
      </c>
      <c r="ER77" s="149">
        <f>SUM(ER79:ER81)</f>
        <v>11.222</v>
      </c>
      <c r="ES77" s="150">
        <f>SUM(ES79:ES81)</f>
        <v>10.79</v>
      </c>
      <c r="ET77" s="151">
        <f>SUM(ET79:ET82)</f>
        <v>0</v>
      </c>
    </row>
    <row r="78" spans="1:150" ht="15.75" customHeight="1" x14ac:dyDescent="0.3">
      <c r="A78" s="50"/>
      <c r="B78" s="6" t="s">
        <v>2</v>
      </c>
      <c r="C78" s="51"/>
      <c r="D78" s="94"/>
      <c r="E78" s="105"/>
      <c r="F78" s="106"/>
      <c r="G78" s="107"/>
      <c r="H78" s="108"/>
      <c r="I78" s="105"/>
      <c r="J78" s="106"/>
      <c r="K78" s="107"/>
      <c r="L78" s="108"/>
      <c r="M78" s="105"/>
      <c r="N78" s="106"/>
      <c r="O78" s="107"/>
      <c r="P78" s="108"/>
      <c r="Q78" s="105"/>
      <c r="R78" s="106"/>
      <c r="S78" s="107"/>
      <c r="T78" s="108"/>
      <c r="U78" s="105"/>
      <c r="V78" s="106"/>
      <c r="W78" s="107"/>
      <c r="X78" s="108"/>
      <c r="Y78" s="105"/>
      <c r="Z78" s="106"/>
      <c r="AA78" s="107"/>
      <c r="AB78" s="108"/>
      <c r="AC78" s="105"/>
      <c r="AD78" s="106"/>
      <c r="AE78" s="107"/>
      <c r="AF78" s="108"/>
      <c r="AG78" s="105"/>
      <c r="AH78" s="106"/>
      <c r="AI78" s="107"/>
      <c r="AJ78" s="108"/>
      <c r="AK78" s="105"/>
      <c r="AL78" s="106"/>
      <c r="AM78" s="107"/>
      <c r="AN78" s="108"/>
      <c r="AO78" s="105"/>
      <c r="AP78" s="106"/>
      <c r="AQ78" s="107"/>
      <c r="AR78" s="108"/>
      <c r="AS78" s="105"/>
      <c r="AT78" s="106"/>
      <c r="AU78" s="107"/>
      <c r="AV78" s="108"/>
      <c r="AW78" s="105"/>
      <c r="AX78" s="106"/>
      <c r="AY78" s="107"/>
      <c r="AZ78" s="108"/>
      <c r="BA78" s="105"/>
      <c r="BB78" s="106"/>
      <c r="BC78" s="107"/>
      <c r="BD78" s="108"/>
      <c r="BE78" s="105"/>
      <c r="BF78" s="106"/>
      <c r="BG78" s="107"/>
      <c r="BH78" s="108"/>
      <c r="BI78" s="105"/>
      <c r="BJ78" s="106"/>
      <c r="BK78" s="107"/>
      <c r="BL78" s="108"/>
      <c r="BM78" s="105"/>
      <c r="BN78" s="106"/>
      <c r="BO78" s="107"/>
      <c r="BP78" s="108"/>
      <c r="BQ78" s="105"/>
      <c r="BR78" s="106"/>
      <c r="BS78" s="107"/>
      <c r="BT78" s="108"/>
      <c r="BU78" s="105"/>
      <c r="BV78" s="106"/>
      <c r="BW78" s="107"/>
      <c r="BX78" s="108"/>
      <c r="BY78" s="164"/>
      <c r="BZ78" s="147"/>
      <c r="CA78" s="161"/>
      <c r="CB78" s="162"/>
      <c r="CC78" s="164"/>
      <c r="CD78" s="147"/>
      <c r="CE78" s="161"/>
      <c r="CF78" s="162"/>
      <c r="CG78" s="105"/>
      <c r="CH78" s="106"/>
      <c r="CI78" s="107"/>
      <c r="CJ78" s="108"/>
      <c r="CK78" s="105"/>
      <c r="CL78" s="106"/>
      <c r="CM78" s="107"/>
      <c r="CN78" s="108"/>
      <c r="CO78" s="164"/>
      <c r="CP78" s="147"/>
      <c r="CQ78" s="161"/>
      <c r="CR78" s="162"/>
      <c r="CS78" s="164"/>
      <c r="CT78" s="147"/>
      <c r="CU78" s="161"/>
      <c r="CV78" s="162"/>
      <c r="CW78" s="105"/>
      <c r="CX78" s="106"/>
      <c r="CY78" s="107"/>
      <c r="CZ78" s="108"/>
      <c r="DA78" s="105"/>
      <c r="DB78" s="106"/>
      <c r="DC78" s="107"/>
      <c r="DD78" s="108"/>
      <c r="DE78" s="164"/>
      <c r="DF78" s="147"/>
      <c r="DG78" s="161"/>
      <c r="DH78" s="162"/>
      <c r="DI78" s="164"/>
      <c r="DJ78" s="147"/>
      <c r="DK78" s="161"/>
      <c r="DL78" s="162"/>
      <c r="DM78" s="105"/>
      <c r="DN78" s="106"/>
      <c r="DO78" s="107"/>
      <c r="DP78" s="108"/>
      <c r="DQ78" s="105"/>
      <c r="DR78" s="106"/>
      <c r="DS78" s="107"/>
      <c r="DT78" s="108"/>
      <c r="DU78" s="164"/>
      <c r="DV78" s="147"/>
      <c r="DW78" s="161"/>
      <c r="DX78" s="162"/>
      <c r="DY78" s="164"/>
      <c r="DZ78" s="147"/>
      <c r="EA78" s="161"/>
      <c r="EB78" s="162"/>
      <c r="EC78" s="105"/>
      <c r="ED78" s="106"/>
      <c r="EE78" s="107"/>
      <c r="EF78" s="108"/>
      <c r="EG78" s="105"/>
      <c r="EH78" s="106"/>
      <c r="EI78" s="107"/>
      <c r="EJ78" s="108"/>
      <c r="EK78" s="153">
        <f t="shared" si="648"/>
        <v>0</v>
      </c>
      <c r="EL78" s="153">
        <f t="shared" si="649"/>
        <v>0</v>
      </c>
      <c r="EM78" s="105"/>
      <c r="EN78" s="106"/>
      <c r="EO78" s="107"/>
      <c r="EP78" s="108"/>
      <c r="EQ78" s="105"/>
      <c r="ER78" s="106"/>
      <c r="ES78" s="107"/>
      <c r="ET78" s="108"/>
    </row>
    <row r="79" spans="1:150" s="4" customFormat="1" ht="21.65" customHeight="1" x14ac:dyDescent="0.25">
      <c r="A79" s="704" t="s">
        <v>26</v>
      </c>
      <c r="B79" s="702" t="s">
        <v>42</v>
      </c>
      <c r="C79" s="48" t="s">
        <v>65</v>
      </c>
      <c r="D79" s="93" t="s">
        <v>37</v>
      </c>
      <c r="E79" s="105">
        <f>SUM(F79,H79)</f>
        <v>262.64</v>
      </c>
      <c r="F79" s="106">
        <f>257.01+5.63</f>
        <v>262.64</v>
      </c>
      <c r="G79" s="107">
        <f>197.06+5.55-1.15</f>
        <v>201.46</v>
      </c>
      <c r="H79" s="108"/>
      <c r="I79" s="105">
        <f>SUM(J79,L79)</f>
        <v>0</v>
      </c>
      <c r="J79" s="106"/>
      <c r="K79" s="107"/>
      <c r="L79" s="108"/>
      <c r="M79" s="105">
        <f>SUM(N79,P79)</f>
        <v>0</v>
      </c>
      <c r="N79" s="106"/>
      <c r="O79" s="107"/>
      <c r="P79" s="108"/>
      <c r="Q79" s="105">
        <f>SUM(R79,T79)</f>
        <v>0</v>
      </c>
      <c r="R79" s="106"/>
      <c r="S79" s="107"/>
      <c r="T79" s="108"/>
      <c r="U79" s="105">
        <f t="shared" ref="U79" si="650">SUM(V79,X79)</f>
        <v>262.64</v>
      </c>
      <c r="V79" s="106">
        <f t="shared" ref="V79" si="651">F79+N79</f>
        <v>262.64</v>
      </c>
      <c r="W79" s="107">
        <f t="shared" ref="W79" si="652">G79+O79</f>
        <v>201.46</v>
      </c>
      <c r="X79" s="108">
        <f t="shared" ref="X79" si="653">H79+P79</f>
        <v>0</v>
      </c>
      <c r="Y79" s="105">
        <f t="shared" ref="Y79" si="654">SUM(Z79,AB79)</f>
        <v>0</v>
      </c>
      <c r="Z79" s="106">
        <f t="shared" ref="Z79" si="655">J79+R79</f>
        <v>0</v>
      </c>
      <c r="AA79" s="107">
        <f t="shared" ref="AA79" si="656">K79+S79</f>
        <v>0</v>
      </c>
      <c r="AB79" s="108">
        <f t="shared" ref="AB79" si="657">L79+T79</f>
        <v>0</v>
      </c>
      <c r="AC79" s="105">
        <f>SUM(AD79,AF79)</f>
        <v>0</v>
      </c>
      <c r="AD79" s="106"/>
      <c r="AE79" s="107">
        <v>-0.5</v>
      </c>
      <c r="AF79" s="108"/>
      <c r="AG79" s="105">
        <f>SUM(AH79,AJ79)</f>
        <v>0</v>
      </c>
      <c r="AH79" s="106"/>
      <c r="AI79" s="107"/>
      <c r="AJ79" s="108"/>
      <c r="AK79" s="105">
        <f t="shared" ref="AK79:AK82" si="658">SUM(AL79,AN79)</f>
        <v>262.64</v>
      </c>
      <c r="AL79" s="106">
        <f t="shared" ref="AL79:AL82" si="659">V79+AD79</f>
        <v>262.64</v>
      </c>
      <c r="AM79" s="107">
        <f t="shared" ref="AM79:AM82" si="660">W79+AE79</f>
        <v>200.96</v>
      </c>
      <c r="AN79" s="108">
        <f t="shared" ref="AN79:AN82" si="661">X79+AF79</f>
        <v>0</v>
      </c>
      <c r="AO79" s="105">
        <f t="shared" ref="AO79:AO82" si="662">SUM(AP79,AR79)</f>
        <v>0</v>
      </c>
      <c r="AP79" s="106">
        <f t="shared" ref="AP79:AP82" si="663">Z79+AH79</f>
        <v>0</v>
      </c>
      <c r="AQ79" s="107">
        <f t="shared" ref="AQ79:AQ82" si="664">AA79+AI79</f>
        <v>0</v>
      </c>
      <c r="AR79" s="108">
        <f t="shared" ref="AR79:AR82" si="665">AB79+AJ79</f>
        <v>0</v>
      </c>
      <c r="AS79" s="105">
        <f>SUM(AT79,AV79)</f>
        <v>1.6859999999999999</v>
      </c>
      <c r="AT79" s="106">
        <v>1.6859999999999999</v>
      </c>
      <c r="AU79" s="107">
        <v>1.6619999999999999</v>
      </c>
      <c r="AV79" s="108"/>
      <c r="AW79" s="105">
        <f>SUM(AX79,AZ79)</f>
        <v>0</v>
      </c>
      <c r="AX79" s="106"/>
      <c r="AY79" s="107"/>
      <c r="AZ79" s="108"/>
      <c r="BA79" s="105">
        <f t="shared" ref="BA79:BA83" si="666">SUM(BB79,BD79)</f>
        <v>264.32599999999996</v>
      </c>
      <c r="BB79" s="106">
        <f t="shared" ref="BB79" si="667">AL79+AT79</f>
        <v>264.32599999999996</v>
      </c>
      <c r="BC79" s="107">
        <f t="shared" ref="BC79:BC83" si="668">AM79+AU79</f>
        <v>202.62200000000001</v>
      </c>
      <c r="BD79" s="108">
        <f t="shared" ref="BD79:BD83" si="669">AN79+AV79</f>
        <v>0</v>
      </c>
      <c r="BE79" s="105">
        <f t="shared" ref="BE79:BE82" si="670">SUM(BF79,BH79)</f>
        <v>0</v>
      </c>
      <c r="BF79" s="106">
        <f t="shared" ref="BF79:BF82" si="671">AP79+AX79</f>
        <v>0</v>
      </c>
      <c r="BG79" s="107">
        <f t="shared" ref="BG79:BG82" si="672">AQ79+AY79</f>
        <v>0</v>
      </c>
      <c r="BH79" s="108">
        <f t="shared" ref="BH79:BH82" si="673">AR79+AZ79</f>
        <v>0</v>
      </c>
      <c r="BI79" s="105">
        <f>SUM(BJ79,BL79)</f>
        <v>0</v>
      </c>
      <c r="BJ79" s="106"/>
      <c r="BK79" s="107"/>
      <c r="BL79" s="108"/>
      <c r="BM79" s="105">
        <f>SUM(BN79,BP79)</f>
        <v>0</v>
      </c>
      <c r="BN79" s="106"/>
      <c r="BO79" s="107"/>
      <c r="BP79" s="108"/>
      <c r="BQ79" s="105">
        <f t="shared" ref="BQ79:BQ83" si="674">SUM(BR79,BT79)</f>
        <v>264.32599999999996</v>
      </c>
      <c r="BR79" s="106">
        <f t="shared" ref="BR79" si="675">BB79+BJ79</f>
        <v>264.32599999999996</v>
      </c>
      <c r="BS79" s="107">
        <f t="shared" ref="BS79:BS83" si="676">BC79+BK79</f>
        <v>202.62200000000001</v>
      </c>
      <c r="BT79" s="108">
        <f t="shared" ref="BT79:BT83" si="677">BD79+BL79</f>
        <v>0</v>
      </c>
      <c r="BU79" s="105">
        <f t="shared" ref="BU79:BU82" si="678">SUM(BV79,BX79)</f>
        <v>0</v>
      </c>
      <c r="BV79" s="106">
        <f t="shared" ref="BV79:BV82" si="679">BF79+BN79</f>
        <v>0</v>
      </c>
      <c r="BW79" s="107">
        <f t="shared" ref="BW79:BW82" si="680">BG79+BO79</f>
        <v>0</v>
      </c>
      <c r="BX79" s="108">
        <f t="shared" ref="BX79:BX82" si="681">BH79+BP79</f>
        <v>0</v>
      </c>
      <c r="BY79" s="164">
        <f>SUM(BZ79,CB79)</f>
        <v>0</v>
      </c>
      <c r="BZ79" s="147"/>
      <c r="CA79" s="161">
        <v>-1.4</v>
      </c>
      <c r="CB79" s="162"/>
      <c r="CC79" s="164">
        <f>SUM(CD79,CF79)</f>
        <v>0</v>
      </c>
      <c r="CD79" s="147"/>
      <c r="CE79" s="161"/>
      <c r="CF79" s="162"/>
      <c r="CG79" s="105">
        <f t="shared" ref="CG79:CG83" si="682">SUM(CH79,CJ79)</f>
        <v>264.32599999999996</v>
      </c>
      <c r="CH79" s="106">
        <f t="shared" ref="CH79" si="683">BR79+BZ79</f>
        <v>264.32599999999996</v>
      </c>
      <c r="CI79" s="107">
        <f t="shared" ref="CI79:CI83" si="684">BS79+CA79</f>
        <v>201.22200000000001</v>
      </c>
      <c r="CJ79" s="108">
        <f t="shared" ref="CJ79:CJ83" si="685">BT79+CB79</f>
        <v>0</v>
      </c>
      <c r="CK79" s="105">
        <f t="shared" ref="CK79:CK82" si="686">SUM(CL79,CN79)</f>
        <v>0</v>
      </c>
      <c r="CL79" s="106">
        <f t="shared" ref="CL79:CL82" si="687">BV79+CD79</f>
        <v>0</v>
      </c>
      <c r="CM79" s="107">
        <f t="shared" ref="CM79:CM82" si="688">BW79+CE79</f>
        <v>0</v>
      </c>
      <c r="CN79" s="108">
        <f t="shared" ref="CN79:CN82" si="689">BX79+CF79</f>
        <v>0</v>
      </c>
      <c r="CO79" s="164">
        <f>SUM(CP79,CR79)</f>
        <v>0</v>
      </c>
      <c r="CP79" s="147"/>
      <c r="CQ79" s="161"/>
      <c r="CR79" s="162"/>
      <c r="CS79" s="164">
        <f>SUM(CT79,CV79)</f>
        <v>0</v>
      </c>
      <c r="CT79" s="147"/>
      <c r="CU79" s="161"/>
      <c r="CV79" s="162"/>
      <c r="CW79" s="105">
        <f t="shared" ref="CW79:CW83" si="690">SUM(CX79,CZ79)</f>
        <v>264.32599999999996</v>
      </c>
      <c r="CX79" s="106">
        <f t="shared" ref="CX79" si="691">CH79+CP79</f>
        <v>264.32599999999996</v>
      </c>
      <c r="CY79" s="107">
        <f t="shared" ref="CY79:CY83" si="692">CI79+CQ79</f>
        <v>201.22200000000001</v>
      </c>
      <c r="CZ79" s="108">
        <f t="shared" ref="CZ79:CZ83" si="693">CJ79+CR79</f>
        <v>0</v>
      </c>
      <c r="DA79" s="105">
        <f t="shared" ref="DA79:DA82" si="694">SUM(DB79,DD79)</f>
        <v>0</v>
      </c>
      <c r="DB79" s="106">
        <f t="shared" ref="DB79:DB82" si="695">CL79+CT79</f>
        <v>0</v>
      </c>
      <c r="DC79" s="107">
        <f t="shared" ref="DC79:DC82" si="696">CM79+CU79</f>
        <v>0</v>
      </c>
      <c r="DD79" s="108">
        <f t="shared" ref="DD79:DD82" si="697">CN79+CV79</f>
        <v>0</v>
      </c>
      <c r="DE79" s="164">
        <f>SUM(DF79,DH79)</f>
        <v>0.99200000000000021</v>
      </c>
      <c r="DF79" s="147">
        <f>1.042+0.65-0.7</f>
        <v>0.99200000000000021</v>
      </c>
      <c r="DG79" s="161">
        <v>0.64100000000000001</v>
      </c>
      <c r="DH79" s="162"/>
      <c r="DI79" s="164">
        <f>SUM(DJ79,DL79)</f>
        <v>0</v>
      </c>
      <c r="DJ79" s="147"/>
      <c r="DK79" s="161"/>
      <c r="DL79" s="162"/>
      <c r="DM79" s="105">
        <f t="shared" ref="DM79:DM83" si="698">SUM(DN79,DP79)</f>
        <v>265.31799999999998</v>
      </c>
      <c r="DN79" s="106">
        <f t="shared" ref="DN79" si="699">CX79+DF79</f>
        <v>265.31799999999998</v>
      </c>
      <c r="DO79" s="107">
        <f t="shared" ref="DO79:DO83" si="700">CY79+DG79</f>
        <v>201.863</v>
      </c>
      <c r="DP79" s="108">
        <f t="shared" ref="DP79:DP83" si="701">CZ79+DH79</f>
        <v>0</v>
      </c>
      <c r="DQ79" s="105">
        <f t="shared" ref="DQ79:DQ82" si="702">SUM(DR79,DT79)</f>
        <v>0</v>
      </c>
      <c r="DR79" s="106">
        <f t="shared" ref="DR79:DR82" si="703">DB79+DJ79</f>
        <v>0</v>
      </c>
      <c r="DS79" s="107">
        <f t="shared" ref="DS79:DS82" si="704">DC79+DK79</f>
        <v>0</v>
      </c>
      <c r="DT79" s="108">
        <f t="shared" ref="DT79:DT82" si="705">DD79+DL79</f>
        <v>0</v>
      </c>
      <c r="DU79" s="164">
        <f>SUM(DV79,DX79)</f>
        <v>0</v>
      </c>
      <c r="DV79" s="147"/>
      <c r="DW79" s="161">
        <v>-1.48</v>
      </c>
      <c r="DX79" s="162"/>
      <c r="DY79" s="164">
        <f>SUM(DZ79,EB79)</f>
        <v>0</v>
      </c>
      <c r="DZ79" s="147"/>
      <c r="EA79" s="161"/>
      <c r="EB79" s="162"/>
      <c r="EC79" s="105">
        <f t="shared" ref="EC79:EC83" si="706">SUM(ED79,EF79)</f>
        <v>265.31799999999998</v>
      </c>
      <c r="ED79" s="106">
        <f t="shared" ref="ED79" si="707">DN79+DV79</f>
        <v>265.31799999999998</v>
      </c>
      <c r="EE79" s="107">
        <f t="shared" ref="EE79:EE83" si="708">DO79+DW79</f>
        <v>200.38300000000001</v>
      </c>
      <c r="EF79" s="108">
        <f t="shared" ref="EF79:EF83" si="709">DP79+DX79</f>
        <v>0</v>
      </c>
      <c r="EG79" s="105">
        <f t="shared" ref="EG79:EG82" si="710">SUM(EH79,EJ79)</f>
        <v>0</v>
      </c>
      <c r="EH79" s="106">
        <f t="shared" ref="EH79:EH82" si="711">DR79+DZ79</f>
        <v>0</v>
      </c>
      <c r="EI79" s="107">
        <f t="shared" ref="EI79:EI82" si="712">DS79+EA79</f>
        <v>0</v>
      </c>
      <c r="EJ79" s="108">
        <f t="shared" ref="EJ79:EJ82" si="713">DT79+EB79</f>
        <v>0</v>
      </c>
      <c r="EK79" s="163">
        <f t="shared" si="648"/>
        <v>16.389999999999986</v>
      </c>
      <c r="EL79" s="163">
        <f t="shared" si="649"/>
        <v>13.711999999999989</v>
      </c>
      <c r="EM79" s="105">
        <f t="shared" ref="EM79:EM84" si="714">SUM(EN79,EP79)</f>
        <v>279.02999999999997</v>
      </c>
      <c r="EN79" s="106">
        <f>ER79+273.08-5</f>
        <v>279.02999999999997</v>
      </c>
      <c r="EO79" s="107">
        <f>ES79+217.25-0.955-5</f>
        <v>222.08499999999998</v>
      </c>
      <c r="EP79" s="108"/>
      <c r="EQ79" s="105">
        <f>SUM(ER79,ET79)</f>
        <v>10.95</v>
      </c>
      <c r="ER79" s="106">
        <v>10.95</v>
      </c>
      <c r="ES79" s="107">
        <v>10.79</v>
      </c>
      <c r="ET79" s="108"/>
    </row>
    <row r="80" spans="1:150" s="4" customFormat="1" ht="21.65" customHeight="1" x14ac:dyDescent="0.25">
      <c r="A80" s="716"/>
      <c r="B80" s="719"/>
      <c r="C80" s="48" t="s">
        <v>66</v>
      </c>
      <c r="D80" s="139" t="s">
        <v>52</v>
      </c>
      <c r="E80" s="105">
        <f>SUM(F80,H80)</f>
        <v>39.426000000000002</v>
      </c>
      <c r="F80" s="106">
        <f>39.2+J80</f>
        <v>39.426000000000002</v>
      </c>
      <c r="G80" s="107"/>
      <c r="H80" s="108"/>
      <c r="I80" s="105">
        <f>SUM(J80,L80)</f>
        <v>0.22600000000000001</v>
      </c>
      <c r="J80" s="106">
        <v>0.22600000000000001</v>
      </c>
      <c r="K80" s="107"/>
      <c r="L80" s="108"/>
      <c r="M80" s="105">
        <f>SUM(N80,P80)</f>
        <v>0</v>
      </c>
      <c r="N80" s="106"/>
      <c r="O80" s="107"/>
      <c r="P80" s="108"/>
      <c r="Q80" s="105">
        <f>SUM(R80,T80)</f>
        <v>0</v>
      </c>
      <c r="R80" s="106"/>
      <c r="S80" s="107"/>
      <c r="T80" s="108"/>
      <c r="U80" s="105">
        <f t="shared" ref="U80:U82" si="715">SUM(V80,X80)</f>
        <v>39.426000000000002</v>
      </c>
      <c r="V80" s="106">
        <f t="shared" ref="V80:V82" si="716">F80+N80</f>
        <v>39.426000000000002</v>
      </c>
      <c r="W80" s="107">
        <f t="shared" ref="W80:W82" si="717">G80+O80</f>
        <v>0</v>
      </c>
      <c r="X80" s="108">
        <f t="shared" ref="X80:X82" si="718">H80+P80</f>
        <v>0</v>
      </c>
      <c r="Y80" s="105">
        <f t="shared" ref="Y80:Y82" si="719">SUM(Z80,AB80)</f>
        <v>0.22600000000000001</v>
      </c>
      <c r="Z80" s="106">
        <f t="shared" ref="Z80:Z82" si="720">J80+R80</f>
        <v>0.22600000000000001</v>
      </c>
      <c r="AA80" s="107">
        <f t="shared" ref="AA80:AA82" si="721">K80+S80</f>
        <v>0</v>
      </c>
      <c r="AB80" s="108">
        <f t="shared" ref="AB80:AB82" si="722">L80+T80</f>
        <v>0</v>
      </c>
      <c r="AC80" s="105">
        <f>SUM(AD80,AF80)</f>
        <v>-0.55000000000000004</v>
      </c>
      <c r="AD80" s="106">
        <v>-0.55000000000000004</v>
      </c>
      <c r="AE80" s="107"/>
      <c r="AF80" s="108"/>
      <c r="AG80" s="105">
        <f>SUM(AH80,AJ80)</f>
        <v>0</v>
      </c>
      <c r="AH80" s="106"/>
      <c r="AI80" s="107"/>
      <c r="AJ80" s="108"/>
      <c r="AK80" s="105">
        <f t="shared" si="658"/>
        <v>38.876000000000005</v>
      </c>
      <c r="AL80" s="106">
        <f>V80+AD80</f>
        <v>38.876000000000005</v>
      </c>
      <c r="AM80" s="107">
        <f t="shared" si="660"/>
        <v>0</v>
      </c>
      <c r="AN80" s="108">
        <f t="shared" si="661"/>
        <v>0</v>
      </c>
      <c r="AO80" s="105">
        <f t="shared" si="662"/>
        <v>0.22600000000000001</v>
      </c>
      <c r="AP80" s="106">
        <f t="shared" si="663"/>
        <v>0.22600000000000001</v>
      </c>
      <c r="AQ80" s="107">
        <f t="shared" si="664"/>
        <v>0</v>
      </c>
      <c r="AR80" s="108">
        <f t="shared" si="665"/>
        <v>0</v>
      </c>
      <c r="AS80" s="105">
        <f>SUM(AT80,AV80)</f>
        <v>0</v>
      </c>
      <c r="AT80" s="106"/>
      <c r="AU80" s="107"/>
      <c r="AV80" s="108"/>
      <c r="AW80" s="105">
        <f>SUM(AX80,AZ80)</f>
        <v>0</v>
      </c>
      <c r="AX80" s="106"/>
      <c r="AY80" s="107"/>
      <c r="AZ80" s="108"/>
      <c r="BA80" s="105">
        <f t="shared" si="666"/>
        <v>38.876000000000005</v>
      </c>
      <c r="BB80" s="106">
        <f>AL80+AT80</f>
        <v>38.876000000000005</v>
      </c>
      <c r="BC80" s="107">
        <f t="shared" si="668"/>
        <v>0</v>
      </c>
      <c r="BD80" s="108">
        <f t="shared" si="669"/>
        <v>0</v>
      </c>
      <c r="BE80" s="105">
        <f t="shared" si="670"/>
        <v>0.22600000000000001</v>
      </c>
      <c r="BF80" s="106">
        <f t="shared" si="671"/>
        <v>0.22600000000000001</v>
      </c>
      <c r="BG80" s="107">
        <f t="shared" si="672"/>
        <v>0</v>
      </c>
      <c r="BH80" s="108">
        <f t="shared" si="673"/>
        <v>0</v>
      </c>
      <c r="BI80" s="105">
        <f>SUM(BJ80,BL80)</f>
        <v>0</v>
      </c>
      <c r="BJ80" s="106"/>
      <c r="BK80" s="107"/>
      <c r="BL80" s="108"/>
      <c r="BM80" s="105">
        <f>SUM(BN80,BP80)</f>
        <v>0</v>
      </c>
      <c r="BN80" s="106"/>
      <c r="BO80" s="107"/>
      <c r="BP80" s="108"/>
      <c r="BQ80" s="105">
        <f t="shared" si="674"/>
        <v>38.876000000000005</v>
      </c>
      <c r="BR80" s="106">
        <f>BB80+BJ80</f>
        <v>38.876000000000005</v>
      </c>
      <c r="BS80" s="107">
        <f t="shared" si="676"/>
        <v>0</v>
      </c>
      <c r="BT80" s="108">
        <f t="shared" si="677"/>
        <v>0</v>
      </c>
      <c r="BU80" s="105">
        <f t="shared" si="678"/>
        <v>0.22600000000000001</v>
      </c>
      <c r="BV80" s="106">
        <f t="shared" si="679"/>
        <v>0.22600000000000001</v>
      </c>
      <c r="BW80" s="107">
        <f t="shared" si="680"/>
        <v>0</v>
      </c>
      <c r="BX80" s="108">
        <f t="shared" si="681"/>
        <v>0</v>
      </c>
      <c r="BY80" s="164">
        <f>SUM(BZ80,CB80)</f>
        <v>0</v>
      </c>
      <c r="BZ80" s="147"/>
      <c r="CA80" s="161"/>
      <c r="CB80" s="162"/>
      <c r="CC80" s="164">
        <f>SUM(CD80,CF80)</f>
        <v>0</v>
      </c>
      <c r="CD80" s="147"/>
      <c r="CE80" s="161"/>
      <c r="CF80" s="162"/>
      <c r="CG80" s="105">
        <f t="shared" si="682"/>
        <v>38.876000000000005</v>
      </c>
      <c r="CH80" s="106">
        <f>BR80+BZ80</f>
        <v>38.876000000000005</v>
      </c>
      <c r="CI80" s="107">
        <f t="shared" si="684"/>
        <v>0</v>
      </c>
      <c r="CJ80" s="108">
        <f t="shared" si="685"/>
        <v>0</v>
      </c>
      <c r="CK80" s="105">
        <f t="shared" si="686"/>
        <v>0.22600000000000001</v>
      </c>
      <c r="CL80" s="106">
        <f t="shared" si="687"/>
        <v>0.22600000000000001</v>
      </c>
      <c r="CM80" s="107">
        <f t="shared" si="688"/>
        <v>0</v>
      </c>
      <c r="CN80" s="108">
        <f t="shared" si="689"/>
        <v>0</v>
      </c>
      <c r="CO80" s="164">
        <f>SUM(CP80,CR80)</f>
        <v>0</v>
      </c>
      <c r="CP80" s="147"/>
      <c r="CQ80" s="161"/>
      <c r="CR80" s="162"/>
      <c r="CS80" s="164">
        <f>SUM(CT80,CV80)</f>
        <v>0</v>
      </c>
      <c r="CT80" s="147"/>
      <c r="CU80" s="161"/>
      <c r="CV80" s="162"/>
      <c r="CW80" s="105">
        <f t="shared" si="690"/>
        <v>38.876000000000005</v>
      </c>
      <c r="CX80" s="106">
        <f>CH80+CP80</f>
        <v>38.876000000000005</v>
      </c>
      <c r="CY80" s="107">
        <f t="shared" si="692"/>
        <v>0</v>
      </c>
      <c r="CZ80" s="108">
        <f t="shared" si="693"/>
        <v>0</v>
      </c>
      <c r="DA80" s="105">
        <f t="shared" si="694"/>
        <v>0.22600000000000001</v>
      </c>
      <c r="DB80" s="106">
        <f t="shared" si="695"/>
        <v>0.22600000000000001</v>
      </c>
      <c r="DC80" s="107">
        <f t="shared" si="696"/>
        <v>0</v>
      </c>
      <c r="DD80" s="108">
        <f t="shared" si="697"/>
        <v>0</v>
      </c>
      <c r="DE80" s="164">
        <f>SUM(DF80,DH80)</f>
        <v>0.12</v>
      </c>
      <c r="DF80" s="147">
        <v>0.12</v>
      </c>
      <c r="DG80" s="161"/>
      <c r="DH80" s="162"/>
      <c r="DI80" s="164">
        <f>SUM(DJ80,DL80)</f>
        <v>0</v>
      </c>
      <c r="DJ80" s="147"/>
      <c r="DK80" s="161"/>
      <c r="DL80" s="162"/>
      <c r="DM80" s="105">
        <f t="shared" si="698"/>
        <v>38.996000000000002</v>
      </c>
      <c r="DN80" s="106">
        <f>CX80+DF80</f>
        <v>38.996000000000002</v>
      </c>
      <c r="DO80" s="107">
        <f t="shared" si="700"/>
        <v>0</v>
      </c>
      <c r="DP80" s="108">
        <f t="shared" si="701"/>
        <v>0</v>
      </c>
      <c r="DQ80" s="105">
        <f t="shared" si="702"/>
        <v>0.22600000000000001</v>
      </c>
      <c r="DR80" s="106">
        <f t="shared" si="703"/>
        <v>0.22600000000000001</v>
      </c>
      <c r="DS80" s="107">
        <f t="shared" si="704"/>
        <v>0</v>
      </c>
      <c r="DT80" s="108">
        <f t="shared" si="705"/>
        <v>0</v>
      </c>
      <c r="DU80" s="164">
        <f>SUM(DV80,DX80)</f>
        <v>0</v>
      </c>
      <c r="DV80" s="147"/>
      <c r="DW80" s="161"/>
      <c r="DX80" s="162"/>
      <c r="DY80" s="164">
        <f>SUM(DZ80,EB80)</f>
        <v>0</v>
      </c>
      <c r="DZ80" s="147"/>
      <c r="EA80" s="161"/>
      <c r="EB80" s="162"/>
      <c r="EC80" s="105">
        <f t="shared" si="706"/>
        <v>38.996000000000002</v>
      </c>
      <c r="ED80" s="106">
        <f>DN80+DV80</f>
        <v>38.996000000000002</v>
      </c>
      <c r="EE80" s="107">
        <f t="shared" si="708"/>
        <v>0</v>
      </c>
      <c r="EF80" s="108">
        <f t="shared" si="709"/>
        <v>0</v>
      </c>
      <c r="EG80" s="105">
        <f t="shared" si="710"/>
        <v>0.22600000000000001</v>
      </c>
      <c r="EH80" s="106">
        <f t="shared" si="711"/>
        <v>0.22600000000000001</v>
      </c>
      <c r="EI80" s="107">
        <f t="shared" si="712"/>
        <v>0</v>
      </c>
      <c r="EJ80" s="108">
        <f t="shared" si="713"/>
        <v>0</v>
      </c>
      <c r="EK80" s="154">
        <f t="shared" si="648"/>
        <v>-2.4540000000000006</v>
      </c>
      <c r="EL80" s="154">
        <f t="shared" si="649"/>
        <v>-2.0240000000000009</v>
      </c>
      <c r="EM80" s="105">
        <f t="shared" si="714"/>
        <v>36.972000000000001</v>
      </c>
      <c r="EN80" s="106">
        <f>ER80+39.2-2.5</f>
        <v>36.972000000000001</v>
      </c>
      <c r="EO80" s="107"/>
      <c r="EP80" s="108"/>
      <c r="EQ80" s="105">
        <f>SUM(ER80,ET80)</f>
        <v>0.27200000000000002</v>
      </c>
      <c r="ER80" s="106">
        <v>0.27200000000000002</v>
      </c>
      <c r="ES80" s="107"/>
      <c r="ET80" s="108"/>
    </row>
    <row r="81" spans="1:150" s="4" customFormat="1" ht="21.65" customHeight="1" x14ac:dyDescent="0.25">
      <c r="A81" s="42" t="s">
        <v>33</v>
      </c>
      <c r="B81" s="103" t="s">
        <v>47</v>
      </c>
      <c r="C81" s="48" t="s">
        <v>147</v>
      </c>
      <c r="D81" s="139" t="s">
        <v>37</v>
      </c>
      <c r="E81" s="105">
        <f>SUM(F81,H81)</f>
        <v>0.56999999999999995</v>
      </c>
      <c r="F81" s="106">
        <v>0.56999999999999995</v>
      </c>
      <c r="G81" s="107"/>
      <c r="H81" s="108"/>
      <c r="I81" s="105">
        <f>SUM(J81,L81)</f>
        <v>0</v>
      </c>
      <c r="J81" s="106"/>
      <c r="K81" s="107"/>
      <c r="L81" s="108"/>
      <c r="M81" s="105">
        <f>SUM(N81,P81)</f>
        <v>0</v>
      </c>
      <c r="N81" s="106"/>
      <c r="O81" s="107"/>
      <c r="P81" s="108"/>
      <c r="Q81" s="105">
        <f>SUM(R81,T81)</f>
        <v>0</v>
      </c>
      <c r="R81" s="106"/>
      <c r="S81" s="107"/>
      <c r="T81" s="108"/>
      <c r="U81" s="105">
        <f t="shared" si="715"/>
        <v>0.56999999999999995</v>
      </c>
      <c r="V81" s="106">
        <f t="shared" si="716"/>
        <v>0.56999999999999995</v>
      </c>
      <c r="W81" s="107">
        <f t="shared" si="717"/>
        <v>0</v>
      </c>
      <c r="X81" s="108">
        <f t="shared" si="718"/>
        <v>0</v>
      </c>
      <c r="Y81" s="105">
        <f t="shared" si="719"/>
        <v>0</v>
      </c>
      <c r="Z81" s="106">
        <f t="shared" si="720"/>
        <v>0</v>
      </c>
      <c r="AA81" s="107">
        <f t="shared" si="721"/>
        <v>0</v>
      </c>
      <c r="AB81" s="108">
        <f t="shared" si="722"/>
        <v>0</v>
      </c>
      <c r="AC81" s="105">
        <f t="shared" ref="AC81:AC83" si="723">SUM(AD81,AF81)</f>
        <v>0</v>
      </c>
      <c r="AD81" s="106"/>
      <c r="AE81" s="107"/>
      <c r="AF81" s="108"/>
      <c r="AG81" s="105">
        <f>SUM(AH81,AJ81)</f>
        <v>0</v>
      </c>
      <c r="AH81" s="106"/>
      <c r="AI81" s="107"/>
      <c r="AJ81" s="108"/>
      <c r="AK81" s="105">
        <f t="shared" si="658"/>
        <v>0.56999999999999995</v>
      </c>
      <c r="AL81" s="106">
        <f t="shared" si="659"/>
        <v>0.56999999999999995</v>
      </c>
      <c r="AM81" s="107">
        <f t="shared" si="660"/>
        <v>0</v>
      </c>
      <c r="AN81" s="108">
        <f t="shared" si="661"/>
        <v>0</v>
      </c>
      <c r="AO81" s="105">
        <f t="shared" si="662"/>
        <v>0</v>
      </c>
      <c r="AP81" s="106">
        <f t="shared" si="663"/>
        <v>0</v>
      </c>
      <c r="AQ81" s="107">
        <f t="shared" si="664"/>
        <v>0</v>
      </c>
      <c r="AR81" s="108">
        <f t="shared" si="665"/>
        <v>0</v>
      </c>
      <c r="AS81" s="105">
        <f t="shared" ref="AS81:AS83" si="724">SUM(AT81,AV81)</f>
        <v>0</v>
      </c>
      <c r="AT81" s="106"/>
      <c r="AU81" s="107"/>
      <c r="AV81" s="108"/>
      <c r="AW81" s="105">
        <f>SUM(AX81,AZ81)</f>
        <v>0</v>
      </c>
      <c r="AX81" s="106"/>
      <c r="AY81" s="107"/>
      <c r="AZ81" s="108"/>
      <c r="BA81" s="105">
        <f t="shared" si="666"/>
        <v>0.56999999999999995</v>
      </c>
      <c r="BB81" s="106">
        <f t="shared" ref="BB81:BB83" si="725">AL81+AT81</f>
        <v>0.56999999999999995</v>
      </c>
      <c r="BC81" s="107">
        <f t="shared" si="668"/>
        <v>0</v>
      </c>
      <c r="BD81" s="108">
        <f t="shared" si="669"/>
        <v>0</v>
      </c>
      <c r="BE81" s="105">
        <f t="shared" si="670"/>
        <v>0</v>
      </c>
      <c r="BF81" s="106">
        <f t="shared" si="671"/>
        <v>0</v>
      </c>
      <c r="BG81" s="107">
        <f t="shared" si="672"/>
        <v>0</v>
      </c>
      <c r="BH81" s="108">
        <f t="shared" si="673"/>
        <v>0</v>
      </c>
      <c r="BI81" s="105">
        <f t="shared" ref="BI81:BI83" si="726">SUM(BJ81,BL81)</f>
        <v>0</v>
      </c>
      <c r="BJ81" s="106"/>
      <c r="BK81" s="107"/>
      <c r="BL81" s="108"/>
      <c r="BM81" s="105">
        <f>SUM(BN81,BP81)</f>
        <v>0</v>
      </c>
      <c r="BN81" s="106"/>
      <c r="BO81" s="107"/>
      <c r="BP81" s="108"/>
      <c r="BQ81" s="105">
        <f t="shared" si="674"/>
        <v>0.56999999999999995</v>
      </c>
      <c r="BR81" s="106">
        <f t="shared" ref="BR81:BR83" si="727">BB81+BJ81</f>
        <v>0.56999999999999995</v>
      </c>
      <c r="BS81" s="107">
        <f t="shared" si="676"/>
        <v>0</v>
      </c>
      <c r="BT81" s="108">
        <f t="shared" si="677"/>
        <v>0</v>
      </c>
      <c r="BU81" s="105">
        <f t="shared" si="678"/>
        <v>0</v>
      </c>
      <c r="BV81" s="106">
        <f t="shared" si="679"/>
        <v>0</v>
      </c>
      <c r="BW81" s="107">
        <f t="shared" si="680"/>
        <v>0</v>
      </c>
      <c r="BX81" s="108">
        <f t="shared" si="681"/>
        <v>0</v>
      </c>
      <c r="BY81" s="164">
        <f t="shared" ref="BY81:BY83" si="728">SUM(BZ81,CB81)</f>
        <v>0</v>
      </c>
      <c r="BZ81" s="147"/>
      <c r="CA81" s="161"/>
      <c r="CB81" s="162"/>
      <c r="CC81" s="164">
        <f>SUM(CD81,CF81)</f>
        <v>0</v>
      </c>
      <c r="CD81" s="147"/>
      <c r="CE81" s="161"/>
      <c r="CF81" s="162"/>
      <c r="CG81" s="105">
        <f t="shared" si="682"/>
        <v>0.56999999999999995</v>
      </c>
      <c r="CH81" s="106">
        <f t="shared" ref="CH81:CH83" si="729">BR81+BZ81</f>
        <v>0.56999999999999995</v>
      </c>
      <c r="CI81" s="107">
        <f t="shared" si="684"/>
        <v>0</v>
      </c>
      <c r="CJ81" s="108">
        <f t="shared" si="685"/>
        <v>0</v>
      </c>
      <c r="CK81" s="105">
        <f t="shared" si="686"/>
        <v>0</v>
      </c>
      <c r="CL81" s="106">
        <f t="shared" si="687"/>
        <v>0</v>
      </c>
      <c r="CM81" s="107">
        <f t="shared" si="688"/>
        <v>0</v>
      </c>
      <c r="CN81" s="108">
        <f t="shared" si="689"/>
        <v>0</v>
      </c>
      <c r="CO81" s="164">
        <f t="shared" ref="CO81:CO83" si="730">SUM(CP81,CR81)</f>
        <v>0</v>
      </c>
      <c r="CP81" s="147"/>
      <c r="CQ81" s="161"/>
      <c r="CR81" s="162"/>
      <c r="CS81" s="164">
        <f>SUM(CT81,CV81)</f>
        <v>0</v>
      </c>
      <c r="CT81" s="147"/>
      <c r="CU81" s="161"/>
      <c r="CV81" s="162"/>
      <c r="CW81" s="105">
        <f t="shared" si="690"/>
        <v>0.56999999999999995</v>
      </c>
      <c r="CX81" s="106">
        <f t="shared" ref="CX81:CX83" si="731">CH81+CP81</f>
        <v>0.56999999999999995</v>
      </c>
      <c r="CY81" s="107">
        <f t="shared" si="692"/>
        <v>0</v>
      </c>
      <c r="CZ81" s="108">
        <f t="shared" si="693"/>
        <v>0</v>
      </c>
      <c r="DA81" s="105">
        <f t="shared" si="694"/>
        <v>0</v>
      </c>
      <c r="DB81" s="106">
        <f t="shared" si="695"/>
        <v>0</v>
      </c>
      <c r="DC81" s="107">
        <f t="shared" si="696"/>
        <v>0</v>
      </c>
      <c r="DD81" s="108">
        <f t="shared" si="697"/>
        <v>0</v>
      </c>
      <c r="DE81" s="164">
        <f t="shared" ref="DE81:DE83" si="732">SUM(DF81,DH81)</f>
        <v>0</v>
      </c>
      <c r="DF81" s="147"/>
      <c r="DG81" s="161"/>
      <c r="DH81" s="162"/>
      <c r="DI81" s="164">
        <f>SUM(DJ81,DL81)</f>
        <v>0</v>
      </c>
      <c r="DJ81" s="147"/>
      <c r="DK81" s="161"/>
      <c r="DL81" s="162"/>
      <c r="DM81" s="105">
        <f t="shared" si="698"/>
        <v>0.56999999999999995</v>
      </c>
      <c r="DN81" s="106">
        <f t="shared" ref="DN81:DN83" si="733">CX81+DF81</f>
        <v>0.56999999999999995</v>
      </c>
      <c r="DO81" s="107">
        <f t="shared" si="700"/>
        <v>0</v>
      </c>
      <c r="DP81" s="108">
        <f t="shared" si="701"/>
        <v>0</v>
      </c>
      <c r="DQ81" s="105">
        <f t="shared" si="702"/>
        <v>0</v>
      </c>
      <c r="DR81" s="106">
        <f t="shared" si="703"/>
        <v>0</v>
      </c>
      <c r="DS81" s="107">
        <f t="shared" si="704"/>
        <v>0</v>
      </c>
      <c r="DT81" s="108">
        <f t="shared" si="705"/>
        <v>0</v>
      </c>
      <c r="DU81" s="164">
        <f t="shared" ref="DU81:DU83" si="734">SUM(DV81,DX81)</f>
        <v>0</v>
      </c>
      <c r="DV81" s="147"/>
      <c r="DW81" s="161"/>
      <c r="DX81" s="162"/>
      <c r="DY81" s="164">
        <f>SUM(DZ81,EB81)</f>
        <v>0</v>
      </c>
      <c r="DZ81" s="147"/>
      <c r="EA81" s="161"/>
      <c r="EB81" s="162"/>
      <c r="EC81" s="105">
        <f t="shared" si="706"/>
        <v>0.56999999999999995</v>
      </c>
      <c r="ED81" s="106">
        <f t="shared" ref="ED81:ED83" si="735">DN81+DV81</f>
        <v>0.56999999999999995</v>
      </c>
      <c r="EE81" s="107">
        <f t="shared" si="708"/>
        <v>0</v>
      </c>
      <c r="EF81" s="108">
        <f t="shared" si="709"/>
        <v>0</v>
      </c>
      <c r="EG81" s="105">
        <f t="shared" si="710"/>
        <v>0</v>
      </c>
      <c r="EH81" s="106">
        <f t="shared" si="711"/>
        <v>0</v>
      </c>
      <c r="EI81" s="107">
        <f t="shared" si="712"/>
        <v>0</v>
      </c>
      <c r="EJ81" s="108">
        <f t="shared" si="713"/>
        <v>0</v>
      </c>
      <c r="EK81" s="154">
        <f t="shared" si="648"/>
        <v>-8.9999999999999969E-2</v>
      </c>
      <c r="EL81" s="154">
        <f t="shared" si="649"/>
        <v>-8.9999999999999969E-2</v>
      </c>
      <c r="EM81" s="105">
        <f t="shared" si="714"/>
        <v>0.48</v>
      </c>
      <c r="EN81" s="106">
        <v>0.48</v>
      </c>
      <c r="EO81" s="107"/>
      <c r="EP81" s="108"/>
      <c r="EQ81" s="105">
        <f>SUM(ER81,ET81)</f>
        <v>0</v>
      </c>
      <c r="ER81" s="106"/>
      <c r="ES81" s="107"/>
      <c r="ET81" s="108"/>
    </row>
    <row r="82" spans="1:150" s="4" customFormat="1" ht="21.65" customHeight="1" x14ac:dyDescent="0.25">
      <c r="A82" s="704" t="s">
        <v>7</v>
      </c>
      <c r="B82" s="702" t="s">
        <v>49</v>
      </c>
      <c r="C82" s="48" t="s">
        <v>183</v>
      </c>
      <c r="D82" s="139" t="s">
        <v>37</v>
      </c>
      <c r="E82" s="105">
        <f>SUM(F82,H82)</f>
        <v>32.379999999999995</v>
      </c>
      <c r="F82" s="106"/>
      <c r="G82" s="107"/>
      <c r="H82" s="108">
        <f>L82+6</f>
        <v>32.379999999999995</v>
      </c>
      <c r="I82" s="105">
        <f>SUM(J82,L82)</f>
        <v>26.38</v>
      </c>
      <c r="J82" s="106"/>
      <c r="K82" s="107"/>
      <c r="L82" s="108">
        <v>26.38</v>
      </c>
      <c r="M82" s="105">
        <f>SUM(N82,P82)</f>
        <v>0</v>
      </c>
      <c r="N82" s="106"/>
      <c r="O82" s="107"/>
      <c r="P82" s="108"/>
      <c r="Q82" s="105">
        <f>SUM(R82,T82)</f>
        <v>0</v>
      </c>
      <c r="R82" s="106"/>
      <c r="S82" s="107"/>
      <c r="T82" s="108"/>
      <c r="U82" s="105">
        <f t="shared" si="715"/>
        <v>32.379999999999995</v>
      </c>
      <c r="V82" s="106">
        <f t="shared" si="716"/>
        <v>0</v>
      </c>
      <c r="W82" s="107">
        <f t="shared" si="717"/>
        <v>0</v>
      </c>
      <c r="X82" s="108">
        <f t="shared" si="718"/>
        <v>32.379999999999995</v>
      </c>
      <c r="Y82" s="105">
        <f t="shared" si="719"/>
        <v>26.38</v>
      </c>
      <c r="Z82" s="106">
        <f t="shared" si="720"/>
        <v>0</v>
      </c>
      <c r="AA82" s="107">
        <f t="shared" si="721"/>
        <v>0</v>
      </c>
      <c r="AB82" s="108">
        <f t="shared" si="722"/>
        <v>26.38</v>
      </c>
      <c r="AC82" s="105">
        <f t="shared" si="723"/>
        <v>0</v>
      </c>
      <c r="AD82" s="106"/>
      <c r="AE82" s="107"/>
      <c r="AF82" s="108"/>
      <c r="AG82" s="105">
        <f>SUM(AH82,AJ82)</f>
        <v>0</v>
      </c>
      <c r="AH82" s="106"/>
      <c r="AI82" s="107"/>
      <c r="AJ82" s="108"/>
      <c r="AK82" s="105">
        <f t="shared" si="658"/>
        <v>32.379999999999995</v>
      </c>
      <c r="AL82" s="106">
        <f t="shared" si="659"/>
        <v>0</v>
      </c>
      <c r="AM82" s="107">
        <f t="shared" si="660"/>
        <v>0</v>
      </c>
      <c r="AN82" s="108">
        <f t="shared" si="661"/>
        <v>32.379999999999995</v>
      </c>
      <c r="AO82" s="105">
        <f t="shared" si="662"/>
        <v>26.38</v>
      </c>
      <c r="AP82" s="106">
        <f t="shared" si="663"/>
        <v>0</v>
      </c>
      <c r="AQ82" s="107">
        <f t="shared" si="664"/>
        <v>0</v>
      </c>
      <c r="AR82" s="108">
        <f t="shared" si="665"/>
        <v>26.38</v>
      </c>
      <c r="AS82" s="105">
        <f t="shared" si="724"/>
        <v>0</v>
      </c>
      <c r="AT82" s="106"/>
      <c r="AU82" s="107"/>
      <c r="AV82" s="108"/>
      <c r="AW82" s="105">
        <f>SUM(AX82,AZ82)</f>
        <v>0</v>
      </c>
      <c r="AX82" s="106"/>
      <c r="AY82" s="107"/>
      <c r="AZ82" s="108"/>
      <c r="BA82" s="105">
        <f t="shared" si="666"/>
        <v>32.379999999999995</v>
      </c>
      <c r="BB82" s="106">
        <f t="shared" si="725"/>
        <v>0</v>
      </c>
      <c r="BC82" s="107">
        <f t="shared" si="668"/>
        <v>0</v>
      </c>
      <c r="BD82" s="108">
        <f t="shared" si="669"/>
        <v>32.379999999999995</v>
      </c>
      <c r="BE82" s="105">
        <f t="shared" si="670"/>
        <v>26.38</v>
      </c>
      <c r="BF82" s="106">
        <f t="shared" si="671"/>
        <v>0</v>
      </c>
      <c r="BG82" s="107">
        <f t="shared" si="672"/>
        <v>0</v>
      </c>
      <c r="BH82" s="108">
        <f t="shared" si="673"/>
        <v>26.38</v>
      </c>
      <c r="BI82" s="105">
        <f t="shared" si="726"/>
        <v>0</v>
      </c>
      <c r="BJ82" s="106"/>
      <c r="BK82" s="107"/>
      <c r="BL82" s="108"/>
      <c r="BM82" s="105">
        <f>SUM(BN82,BP82)</f>
        <v>0</v>
      </c>
      <c r="BN82" s="106"/>
      <c r="BO82" s="107"/>
      <c r="BP82" s="108"/>
      <c r="BQ82" s="105">
        <f t="shared" si="674"/>
        <v>32.379999999999995</v>
      </c>
      <c r="BR82" s="106">
        <f t="shared" si="727"/>
        <v>0</v>
      </c>
      <c r="BS82" s="107">
        <f t="shared" si="676"/>
        <v>0</v>
      </c>
      <c r="BT82" s="108">
        <f t="shared" si="677"/>
        <v>32.379999999999995</v>
      </c>
      <c r="BU82" s="105">
        <f t="shared" si="678"/>
        <v>26.38</v>
      </c>
      <c r="BV82" s="106">
        <f t="shared" si="679"/>
        <v>0</v>
      </c>
      <c r="BW82" s="107">
        <f t="shared" si="680"/>
        <v>0</v>
      </c>
      <c r="BX82" s="108">
        <f t="shared" si="681"/>
        <v>26.38</v>
      </c>
      <c r="BY82" s="164">
        <f t="shared" si="728"/>
        <v>0</v>
      </c>
      <c r="BZ82" s="147"/>
      <c r="CA82" s="161"/>
      <c r="CB82" s="162"/>
      <c r="CC82" s="164">
        <f>SUM(CD82,CF82)</f>
        <v>0</v>
      </c>
      <c r="CD82" s="147"/>
      <c r="CE82" s="161"/>
      <c r="CF82" s="162"/>
      <c r="CG82" s="105">
        <f t="shared" si="682"/>
        <v>32.379999999999995</v>
      </c>
      <c r="CH82" s="106">
        <f t="shared" si="729"/>
        <v>0</v>
      </c>
      <c r="CI82" s="107">
        <f t="shared" si="684"/>
        <v>0</v>
      </c>
      <c r="CJ82" s="108">
        <f t="shared" si="685"/>
        <v>32.379999999999995</v>
      </c>
      <c r="CK82" s="105">
        <f t="shared" si="686"/>
        <v>26.38</v>
      </c>
      <c r="CL82" s="106">
        <f t="shared" si="687"/>
        <v>0</v>
      </c>
      <c r="CM82" s="107">
        <f t="shared" si="688"/>
        <v>0</v>
      </c>
      <c r="CN82" s="108">
        <f t="shared" si="689"/>
        <v>26.38</v>
      </c>
      <c r="CO82" s="164">
        <f t="shared" si="730"/>
        <v>13.552</v>
      </c>
      <c r="CP82" s="147">
        <v>13.552</v>
      </c>
      <c r="CQ82" s="161"/>
      <c r="CR82" s="162"/>
      <c r="CS82" s="164">
        <f>SUM(CT82,CV82)</f>
        <v>0</v>
      </c>
      <c r="CT82" s="147"/>
      <c r="CU82" s="161"/>
      <c r="CV82" s="162"/>
      <c r="CW82" s="105">
        <f t="shared" si="690"/>
        <v>45.931999999999995</v>
      </c>
      <c r="CX82" s="106">
        <f t="shared" si="731"/>
        <v>13.552</v>
      </c>
      <c r="CY82" s="107">
        <f t="shared" si="692"/>
        <v>0</v>
      </c>
      <c r="CZ82" s="108">
        <f t="shared" si="693"/>
        <v>32.379999999999995</v>
      </c>
      <c r="DA82" s="105">
        <f t="shared" si="694"/>
        <v>26.38</v>
      </c>
      <c r="DB82" s="106">
        <f t="shared" si="695"/>
        <v>0</v>
      </c>
      <c r="DC82" s="107">
        <f t="shared" si="696"/>
        <v>0</v>
      </c>
      <c r="DD82" s="108">
        <f t="shared" si="697"/>
        <v>26.38</v>
      </c>
      <c r="DE82" s="164">
        <f t="shared" si="732"/>
        <v>0</v>
      </c>
      <c r="DF82" s="147"/>
      <c r="DG82" s="161"/>
      <c r="DH82" s="162"/>
      <c r="DI82" s="164">
        <f>SUM(DJ82,DL82)</f>
        <v>0</v>
      </c>
      <c r="DJ82" s="147"/>
      <c r="DK82" s="161"/>
      <c r="DL82" s="162"/>
      <c r="DM82" s="105">
        <f t="shared" si="698"/>
        <v>45.931999999999995</v>
      </c>
      <c r="DN82" s="106">
        <f t="shared" si="733"/>
        <v>13.552</v>
      </c>
      <c r="DO82" s="107">
        <f t="shared" si="700"/>
        <v>0</v>
      </c>
      <c r="DP82" s="108">
        <f t="shared" si="701"/>
        <v>32.379999999999995</v>
      </c>
      <c r="DQ82" s="105">
        <f t="shared" si="702"/>
        <v>26.38</v>
      </c>
      <c r="DR82" s="106">
        <f t="shared" si="703"/>
        <v>0</v>
      </c>
      <c r="DS82" s="107">
        <f t="shared" si="704"/>
        <v>0</v>
      </c>
      <c r="DT82" s="108">
        <f t="shared" si="705"/>
        <v>26.38</v>
      </c>
      <c r="DU82" s="164">
        <f t="shared" si="734"/>
        <v>3.734</v>
      </c>
      <c r="DV82" s="147">
        <v>3.734</v>
      </c>
      <c r="DW82" s="161"/>
      <c r="DX82" s="162"/>
      <c r="DY82" s="164">
        <f>SUM(DZ82,EB82)</f>
        <v>0</v>
      </c>
      <c r="DZ82" s="147"/>
      <c r="EA82" s="161"/>
      <c r="EB82" s="162"/>
      <c r="EC82" s="105">
        <f t="shared" si="706"/>
        <v>49.665999999999997</v>
      </c>
      <c r="ED82" s="106">
        <f t="shared" si="735"/>
        <v>17.286000000000001</v>
      </c>
      <c r="EE82" s="107">
        <f t="shared" si="708"/>
        <v>0</v>
      </c>
      <c r="EF82" s="108">
        <f t="shared" si="709"/>
        <v>32.379999999999995</v>
      </c>
      <c r="EG82" s="105">
        <f t="shared" si="710"/>
        <v>26.38</v>
      </c>
      <c r="EH82" s="106">
        <f t="shared" si="711"/>
        <v>0</v>
      </c>
      <c r="EI82" s="107">
        <f t="shared" si="712"/>
        <v>0</v>
      </c>
      <c r="EJ82" s="108">
        <f t="shared" si="713"/>
        <v>26.38</v>
      </c>
      <c r="EK82" s="154">
        <f t="shared" si="648"/>
        <v>-27.379999999999995</v>
      </c>
      <c r="EL82" s="154">
        <f t="shared" si="649"/>
        <v>-44.665999999999997</v>
      </c>
      <c r="EM82" s="105">
        <f t="shared" si="714"/>
        <v>5</v>
      </c>
      <c r="EN82" s="106"/>
      <c r="EO82" s="107"/>
      <c r="EP82" s="108">
        <v>5</v>
      </c>
      <c r="EQ82" s="105">
        <f>SUM(ER82,ET82)</f>
        <v>0</v>
      </c>
      <c r="ER82" s="106"/>
      <c r="ES82" s="107"/>
      <c r="ET82" s="108"/>
    </row>
    <row r="83" spans="1:150" s="4" customFormat="1" ht="21.65" customHeight="1" x14ac:dyDescent="0.25">
      <c r="A83" s="705"/>
      <c r="B83" s="703"/>
      <c r="C83" s="48" t="s">
        <v>204</v>
      </c>
      <c r="D83" s="139" t="s">
        <v>52</v>
      </c>
      <c r="E83" s="105"/>
      <c r="F83" s="106"/>
      <c r="G83" s="107"/>
      <c r="H83" s="108"/>
      <c r="I83" s="105"/>
      <c r="J83" s="106"/>
      <c r="K83" s="107"/>
      <c r="L83" s="108"/>
      <c r="M83" s="105"/>
      <c r="N83" s="106"/>
      <c r="O83" s="107"/>
      <c r="P83" s="108"/>
      <c r="Q83" s="105"/>
      <c r="R83" s="106"/>
      <c r="S83" s="107"/>
      <c r="T83" s="108"/>
      <c r="U83" s="105"/>
      <c r="V83" s="106"/>
      <c r="W83" s="107"/>
      <c r="X83" s="108"/>
      <c r="Y83" s="105"/>
      <c r="Z83" s="106"/>
      <c r="AA83" s="107"/>
      <c r="AB83" s="108"/>
      <c r="AC83" s="105">
        <f t="shared" si="723"/>
        <v>0.55000000000000004</v>
      </c>
      <c r="AD83" s="106"/>
      <c r="AE83" s="107"/>
      <c r="AF83" s="108">
        <v>0.55000000000000004</v>
      </c>
      <c r="AG83" s="105"/>
      <c r="AH83" s="106"/>
      <c r="AI83" s="107"/>
      <c r="AJ83" s="108"/>
      <c r="AK83" s="105">
        <f t="shared" ref="AK83" si="736">SUM(AL83,AN83)</f>
        <v>0.55000000000000004</v>
      </c>
      <c r="AL83" s="106">
        <f t="shared" ref="AL83" si="737">V83+AD83</f>
        <v>0</v>
      </c>
      <c r="AM83" s="107">
        <f t="shared" ref="AM83" si="738">W83+AE83</f>
        <v>0</v>
      </c>
      <c r="AN83" s="108">
        <f t="shared" ref="AN83" si="739">X83+AF83</f>
        <v>0.55000000000000004</v>
      </c>
      <c r="AO83" s="105"/>
      <c r="AP83" s="106"/>
      <c r="AQ83" s="107"/>
      <c r="AR83" s="108"/>
      <c r="AS83" s="105">
        <f t="shared" si="724"/>
        <v>0</v>
      </c>
      <c r="AT83" s="106"/>
      <c r="AU83" s="107"/>
      <c r="AV83" s="108"/>
      <c r="AW83" s="105"/>
      <c r="AX83" s="106"/>
      <c r="AY83" s="107"/>
      <c r="AZ83" s="108"/>
      <c r="BA83" s="105">
        <f t="shared" si="666"/>
        <v>0.55000000000000004</v>
      </c>
      <c r="BB83" s="106">
        <f t="shared" si="725"/>
        <v>0</v>
      </c>
      <c r="BC83" s="107">
        <f t="shared" si="668"/>
        <v>0</v>
      </c>
      <c r="BD83" s="108">
        <f t="shared" si="669"/>
        <v>0.55000000000000004</v>
      </c>
      <c r="BE83" s="105"/>
      <c r="BF83" s="106"/>
      <c r="BG83" s="107"/>
      <c r="BH83" s="108"/>
      <c r="BI83" s="105">
        <f t="shared" si="726"/>
        <v>0</v>
      </c>
      <c r="BJ83" s="106"/>
      <c r="BK83" s="107"/>
      <c r="BL83" s="108"/>
      <c r="BM83" s="105"/>
      <c r="BN83" s="106"/>
      <c r="BO83" s="107"/>
      <c r="BP83" s="108"/>
      <c r="BQ83" s="105">
        <f t="shared" si="674"/>
        <v>0.55000000000000004</v>
      </c>
      <c r="BR83" s="106">
        <f t="shared" si="727"/>
        <v>0</v>
      </c>
      <c r="BS83" s="107">
        <f t="shared" si="676"/>
        <v>0</v>
      </c>
      <c r="BT83" s="108">
        <f t="shared" si="677"/>
        <v>0.55000000000000004</v>
      </c>
      <c r="BU83" s="105"/>
      <c r="BV83" s="106"/>
      <c r="BW83" s="107"/>
      <c r="BX83" s="108"/>
      <c r="BY83" s="164">
        <f t="shared" si="728"/>
        <v>0</v>
      </c>
      <c r="BZ83" s="147"/>
      <c r="CA83" s="161"/>
      <c r="CB83" s="162"/>
      <c r="CC83" s="164"/>
      <c r="CD83" s="147"/>
      <c r="CE83" s="161"/>
      <c r="CF83" s="162"/>
      <c r="CG83" s="105">
        <f t="shared" si="682"/>
        <v>0.55000000000000004</v>
      </c>
      <c r="CH83" s="106">
        <f t="shared" si="729"/>
        <v>0</v>
      </c>
      <c r="CI83" s="107">
        <f t="shared" si="684"/>
        <v>0</v>
      </c>
      <c r="CJ83" s="108">
        <f t="shared" si="685"/>
        <v>0.55000000000000004</v>
      </c>
      <c r="CK83" s="105"/>
      <c r="CL83" s="106"/>
      <c r="CM83" s="107"/>
      <c r="CN83" s="108"/>
      <c r="CO83" s="164">
        <f t="shared" si="730"/>
        <v>0</v>
      </c>
      <c r="CP83" s="147"/>
      <c r="CQ83" s="161"/>
      <c r="CR83" s="162"/>
      <c r="CS83" s="164"/>
      <c r="CT83" s="147"/>
      <c r="CU83" s="161"/>
      <c r="CV83" s="162"/>
      <c r="CW83" s="105">
        <f t="shared" si="690"/>
        <v>0.55000000000000004</v>
      </c>
      <c r="CX83" s="106">
        <f t="shared" si="731"/>
        <v>0</v>
      </c>
      <c r="CY83" s="107">
        <f t="shared" si="692"/>
        <v>0</v>
      </c>
      <c r="CZ83" s="108">
        <f t="shared" si="693"/>
        <v>0.55000000000000004</v>
      </c>
      <c r="DA83" s="105"/>
      <c r="DB83" s="106"/>
      <c r="DC83" s="107"/>
      <c r="DD83" s="108"/>
      <c r="DE83" s="164">
        <f t="shared" si="732"/>
        <v>0</v>
      </c>
      <c r="DF83" s="147"/>
      <c r="DG83" s="161"/>
      <c r="DH83" s="162"/>
      <c r="DI83" s="164"/>
      <c r="DJ83" s="147"/>
      <c r="DK83" s="161"/>
      <c r="DL83" s="162"/>
      <c r="DM83" s="105">
        <f t="shared" si="698"/>
        <v>0.55000000000000004</v>
      </c>
      <c r="DN83" s="106">
        <f t="shared" si="733"/>
        <v>0</v>
      </c>
      <c r="DO83" s="107">
        <f t="shared" si="700"/>
        <v>0</v>
      </c>
      <c r="DP83" s="108">
        <f t="shared" si="701"/>
        <v>0.55000000000000004</v>
      </c>
      <c r="DQ83" s="105"/>
      <c r="DR83" s="106"/>
      <c r="DS83" s="107"/>
      <c r="DT83" s="108"/>
      <c r="DU83" s="164">
        <f t="shared" si="734"/>
        <v>0</v>
      </c>
      <c r="DV83" s="147"/>
      <c r="DW83" s="161"/>
      <c r="DX83" s="162"/>
      <c r="DY83" s="164"/>
      <c r="DZ83" s="147"/>
      <c r="EA83" s="161"/>
      <c r="EB83" s="162"/>
      <c r="EC83" s="105">
        <f t="shared" si="706"/>
        <v>0.55000000000000004</v>
      </c>
      <c r="ED83" s="106">
        <f t="shared" si="735"/>
        <v>0</v>
      </c>
      <c r="EE83" s="107">
        <f t="shared" si="708"/>
        <v>0</v>
      </c>
      <c r="EF83" s="108">
        <f t="shared" si="709"/>
        <v>0.55000000000000004</v>
      </c>
      <c r="EG83" s="105"/>
      <c r="EH83" s="106"/>
      <c r="EI83" s="107"/>
      <c r="EJ83" s="108"/>
      <c r="EK83" s="163">
        <f t="shared" si="648"/>
        <v>2.5</v>
      </c>
      <c r="EL83" s="163">
        <f t="shared" si="649"/>
        <v>1.95</v>
      </c>
      <c r="EM83" s="105">
        <f t="shared" si="714"/>
        <v>2.5</v>
      </c>
      <c r="EN83" s="106">
        <v>2.5</v>
      </c>
      <c r="EO83" s="107"/>
      <c r="EP83" s="162"/>
      <c r="EQ83" s="105"/>
      <c r="ER83" s="106"/>
      <c r="ES83" s="107"/>
      <c r="ET83" s="108"/>
    </row>
    <row r="84" spans="1:150" ht="31.25" customHeight="1" x14ac:dyDescent="0.3">
      <c r="A84" s="46"/>
      <c r="B84" s="33" t="s">
        <v>11</v>
      </c>
      <c r="C84" s="47" t="s">
        <v>101</v>
      </c>
      <c r="D84" s="94"/>
      <c r="E84" s="148">
        <f>SUM(F84,H84)</f>
        <v>434.10400000000004</v>
      </c>
      <c r="F84" s="149">
        <f>SUM(F86:F89)</f>
        <v>414.28000000000003</v>
      </c>
      <c r="G84" s="150">
        <f>SUM(G86:G89)</f>
        <v>276.02999999999997</v>
      </c>
      <c r="H84" s="151">
        <f>SUM(H86:H89)</f>
        <v>19.823999999999998</v>
      </c>
      <c r="I84" s="148">
        <f>SUM(J84,L84)</f>
        <v>12.304</v>
      </c>
      <c r="J84" s="149">
        <f>SUM(J86:J88)</f>
        <v>3.48</v>
      </c>
      <c r="K84" s="150">
        <f>SUM(K86:K88)</f>
        <v>0</v>
      </c>
      <c r="L84" s="151">
        <f>SUM(L86:L89)</f>
        <v>8.8239999999999998</v>
      </c>
      <c r="M84" s="148">
        <f>SUM(N84,P84)</f>
        <v>0</v>
      </c>
      <c r="N84" s="149">
        <f>SUM(N86:N89)</f>
        <v>0</v>
      </c>
      <c r="O84" s="150">
        <f>SUM(O86:O89)</f>
        <v>0</v>
      </c>
      <c r="P84" s="151">
        <f>SUM(P86:P89)</f>
        <v>0</v>
      </c>
      <c r="Q84" s="148">
        <f>SUM(R84,T84)</f>
        <v>0</v>
      </c>
      <c r="R84" s="149">
        <f>SUM(R86:R88)</f>
        <v>0</v>
      </c>
      <c r="S84" s="150">
        <f>SUM(S86:S88)</f>
        <v>0</v>
      </c>
      <c r="T84" s="151">
        <f>SUM(T86:T89)</f>
        <v>0</v>
      </c>
      <c r="U84" s="148">
        <f>SUM(V84,X84)</f>
        <v>434.10400000000004</v>
      </c>
      <c r="V84" s="149">
        <f>SUM(V86:V89)</f>
        <v>414.28000000000003</v>
      </c>
      <c r="W84" s="150">
        <f>SUM(W86:W89)</f>
        <v>276.02999999999997</v>
      </c>
      <c r="X84" s="151">
        <f>SUM(X86:X89)</f>
        <v>19.823999999999998</v>
      </c>
      <c r="Y84" s="148">
        <f>SUM(Z84,AB84)</f>
        <v>12.304</v>
      </c>
      <c r="Z84" s="149">
        <f>SUM(Z86:Z88)</f>
        <v>3.48</v>
      </c>
      <c r="AA84" s="150">
        <f>SUM(AA86:AA88)</f>
        <v>0</v>
      </c>
      <c r="AB84" s="151">
        <f>SUM(AB86:AB89)</f>
        <v>8.8239999999999998</v>
      </c>
      <c r="AC84" s="148">
        <f>SUM(AD84,AF84)</f>
        <v>0</v>
      </c>
      <c r="AD84" s="149">
        <f>SUM(AD86:AD89)</f>
        <v>0</v>
      </c>
      <c r="AE84" s="150">
        <f>SUM(AE86:AE89)</f>
        <v>0</v>
      </c>
      <c r="AF84" s="151">
        <f>SUM(AF86:AF89)</f>
        <v>0</v>
      </c>
      <c r="AG84" s="148">
        <f>SUM(AH84,AJ84)</f>
        <v>0</v>
      </c>
      <c r="AH84" s="149">
        <f>SUM(AH86:AH88)</f>
        <v>0</v>
      </c>
      <c r="AI84" s="150">
        <f>SUM(AI86:AI88)</f>
        <v>0</v>
      </c>
      <c r="AJ84" s="151">
        <f>SUM(AJ86:AJ89)</f>
        <v>0</v>
      </c>
      <c r="AK84" s="148">
        <f>SUM(AL84,AN84)</f>
        <v>434.10400000000004</v>
      </c>
      <c r="AL84" s="149">
        <f>SUM(AL86:AL89)</f>
        <v>414.28000000000003</v>
      </c>
      <c r="AM84" s="150">
        <f>SUM(AM86:AM89)</f>
        <v>276.02999999999997</v>
      </c>
      <c r="AN84" s="151">
        <f>SUM(AN86:AN89)</f>
        <v>19.823999999999998</v>
      </c>
      <c r="AO84" s="148">
        <f>SUM(AP84,AR84)</f>
        <v>12.304</v>
      </c>
      <c r="AP84" s="149">
        <f>SUM(AP86:AP88)</f>
        <v>3.48</v>
      </c>
      <c r="AQ84" s="150">
        <f>SUM(AQ86:AQ88)</f>
        <v>0</v>
      </c>
      <c r="AR84" s="151">
        <f>SUM(AR86:AR89)</f>
        <v>8.8239999999999998</v>
      </c>
      <c r="AS84" s="148">
        <f>SUM(AT84,AV84)</f>
        <v>-0.8</v>
      </c>
      <c r="AT84" s="149">
        <f>SUM(AT86:AT89)</f>
        <v>-0.8</v>
      </c>
      <c r="AU84" s="150">
        <f>SUM(AU86:AU89)</f>
        <v>-0.78900000000000003</v>
      </c>
      <c r="AV84" s="151">
        <f>SUM(AV86:AV89)</f>
        <v>0</v>
      </c>
      <c r="AW84" s="148">
        <f>SUM(AX84,AZ84)</f>
        <v>0</v>
      </c>
      <c r="AX84" s="149">
        <f>SUM(AX86:AX88)</f>
        <v>0</v>
      </c>
      <c r="AY84" s="150">
        <f>SUM(AY86:AY88)</f>
        <v>0</v>
      </c>
      <c r="AZ84" s="151">
        <f>SUM(AZ86:AZ89)</f>
        <v>0</v>
      </c>
      <c r="BA84" s="148">
        <f>SUM(BB84,BD84)</f>
        <v>433.30400000000003</v>
      </c>
      <c r="BB84" s="149">
        <f>SUM(BB86:BB89)</f>
        <v>413.48</v>
      </c>
      <c r="BC84" s="150">
        <f>SUM(BC86:BC89)</f>
        <v>275.24099999999999</v>
      </c>
      <c r="BD84" s="151">
        <f>SUM(BD86:BD89)</f>
        <v>19.823999999999998</v>
      </c>
      <c r="BE84" s="148">
        <f>SUM(BF84,BH84)</f>
        <v>12.304</v>
      </c>
      <c r="BF84" s="149">
        <f>SUM(BF86:BF88)</f>
        <v>3.48</v>
      </c>
      <c r="BG84" s="150">
        <f>SUM(BG86:BG88)</f>
        <v>0</v>
      </c>
      <c r="BH84" s="151">
        <f>SUM(BH86:BH89)</f>
        <v>8.8239999999999998</v>
      </c>
      <c r="BI84" s="148">
        <f>SUM(BJ84,BL84)</f>
        <v>0</v>
      </c>
      <c r="BJ84" s="149">
        <f>SUM(BJ86:BJ89)</f>
        <v>0</v>
      </c>
      <c r="BK84" s="150">
        <f>SUM(BK86:BK89)</f>
        <v>0</v>
      </c>
      <c r="BL84" s="151">
        <f>SUM(BL86:BL89)</f>
        <v>0</v>
      </c>
      <c r="BM84" s="148">
        <f>SUM(BN84,BP84)</f>
        <v>0</v>
      </c>
      <c r="BN84" s="149">
        <f>SUM(BN86:BN88)</f>
        <v>0</v>
      </c>
      <c r="BO84" s="150">
        <f>SUM(BO86:BO88)</f>
        <v>0</v>
      </c>
      <c r="BP84" s="151">
        <f>SUM(BP86:BP89)</f>
        <v>0</v>
      </c>
      <c r="BQ84" s="148">
        <f>SUM(BR84,BT84)</f>
        <v>433.30400000000003</v>
      </c>
      <c r="BR84" s="149">
        <f>SUM(BR86:BR89)</f>
        <v>413.48</v>
      </c>
      <c r="BS84" s="150">
        <f>SUM(BS86:BS89)</f>
        <v>275.24099999999999</v>
      </c>
      <c r="BT84" s="151">
        <f>SUM(BT86:BT89)</f>
        <v>19.823999999999998</v>
      </c>
      <c r="BU84" s="148">
        <f>SUM(BV84,BX84)</f>
        <v>12.304</v>
      </c>
      <c r="BV84" s="149">
        <f>SUM(BV86:BV88)</f>
        <v>3.48</v>
      </c>
      <c r="BW84" s="150">
        <f>SUM(BW86:BW88)</f>
        <v>0</v>
      </c>
      <c r="BX84" s="151">
        <f>SUM(BX86:BX89)</f>
        <v>8.8239999999999998</v>
      </c>
      <c r="BY84" s="175">
        <f>SUM(BZ84,CB84)</f>
        <v>0</v>
      </c>
      <c r="BZ84" s="176">
        <f>SUM(BZ86:BZ89)</f>
        <v>-9.0250000000000004</v>
      </c>
      <c r="CA84" s="177">
        <f>SUM(CA86:CA89)</f>
        <v>0</v>
      </c>
      <c r="CB84" s="178">
        <f>SUM(CB86:CB89)</f>
        <v>9.0250000000000004</v>
      </c>
      <c r="CC84" s="175">
        <f>SUM(CD84,CF84)</f>
        <v>0</v>
      </c>
      <c r="CD84" s="176">
        <f>SUM(CD86:CD88)</f>
        <v>0</v>
      </c>
      <c r="CE84" s="177">
        <f>SUM(CE86:CE88)</f>
        <v>0</v>
      </c>
      <c r="CF84" s="178">
        <f>SUM(CF86:CF89)</f>
        <v>0</v>
      </c>
      <c r="CG84" s="148">
        <f>SUM(CH84,CJ84)</f>
        <v>433.30400000000003</v>
      </c>
      <c r="CH84" s="149">
        <f>SUM(CH86:CH89)</f>
        <v>404.45500000000004</v>
      </c>
      <c r="CI84" s="150">
        <f>SUM(CI86:CI89)</f>
        <v>275.24099999999999</v>
      </c>
      <c r="CJ84" s="151">
        <f>SUM(CJ86:CJ89)</f>
        <v>28.848999999999997</v>
      </c>
      <c r="CK84" s="148">
        <f>SUM(CL84,CN84)</f>
        <v>12.304</v>
      </c>
      <c r="CL84" s="149">
        <f>SUM(CL86:CL88)</f>
        <v>3.48</v>
      </c>
      <c r="CM84" s="150">
        <f>SUM(CM86:CM88)</f>
        <v>0</v>
      </c>
      <c r="CN84" s="151">
        <f>SUM(CN86:CN89)</f>
        <v>8.8239999999999998</v>
      </c>
      <c r="CO84" s="175">
        <f>SUM(CP84,CR84)</f>
        <v>0</v>
      </c>
      <c r="CP84" s="176">
        <f>SUM(CP86:CP89)</f>
        <v>0</v>
      </c>
      <c r="CQ84" s="177">
        <f>SUM(CQ86:CQ89)</f>
        <v>-1.704</v>
      </c>
      <c r="CR84" s="178">
        <f>SUM(CR86:CR89)</f>
        <v>0</v>
      </c>
      <c r="CS84" s="175">
        <f>SUM(CT84,CV84)</f>
        <v>0</v>
      </c>
      <c r="CT84" s="176">
        <f>SUM(CT86:CT88)</f>
        <v>0</v>
      </c>
      <c r="CU84" s="177">
        <f>SUM(CU86:CU88)</f>
        <v>0</v>
      </c>
      <c r="CV84" s="178">
        <f>SUM(CV86:CV89)</f>
        <v>0</v>
      </c>
      <c r="CW84" s="148">
        <f>SUM(CX84,CZ84)</f>
        <v>433.30400000000003</v>
      </c>
      <c r="CX84" s="149">
        <f>SUM(CX86:CX89)</f>
        <v>404.45500000000004</v>
      </c>
      <c r="CY84" s="150">
        <f>SUM(CY86:CY89)</f>
        <v>273.53699999999998</v>
      </c>
      <c r="CZ84" s="151">
        <f>SUM(CZ86:CZ89)</f>
        <v>28.848999999999997</v>
      </c>
      <c r="DA84" s="148">
        <f>SUM(DB84,DD84)</f>
        <v>12.304</v>
      </c>
      <c r="DB84" s="149">
        <f>SUM(DB86:DB88)</f>
        <v>3.48</v>
      </c>
      <c r="DC84" s="150">
        <f>SUM(DC86:DC88)</f>
        <v>0</v>
      </c>
      <c r="DD84" s="151">
        <f>SUM(DD86:DD89)</f>
        <v>8.8239999999999998</v>
      </c>
      <c r="DE84" s="175">
        <f>SUM(DF84,DH84)</f>
        <v>0.52</v>
      </c>
      <c r="DF84" s="176">
        <f>SUM(DF86:DF89)</f>
        <v>0.52</v>
      </c>
      <c r="DG84" s="177">
        <f>SUM(DG86:DG89)</f>
        <v>-0.33500000000000002</v>
      </c>
      <c r="DH84" s="178">
        <f>SUM(DH86:DH89)</f>
        <v>0</v>
      </c>
      <c r="DI84" s="175">
        <f>SUM(DJ84,DL84)</f>
        <v>0</v>
      </c>
      <c r="DJ84" s="176">
        <f>SUM(DJ86:DJ88)</f>
        <v>0</v>
      </c>
      <c r="DK84" s="177">
        <f>SUM(DK86:DK88)</f>
        <v>0</v>
      </c>
      <c r="DL84" s="178">
        <f>SUM(DL86:DL89)</f>
        <v>0</v>
      </c>
      <c r="DM84" s="148">
        <f>SUM(DN84,DP84)</f>
        <v>433.82400000000001</v>
      </c>
      <c r="DN84" s="149">
        <f>SUM(DN86:DN89)</f>
        <v>404.97500000000002</v>
      </c>
      <c r="DO84" s="150">
        <f>SUM(DO86:DO89)</f>
        <v>273.202</v>
      </c>
      <c r="DP84" s="151">
        <f>SUM(DP86:DP89)</f>
        <v>28.848999999999997</v>
      </c>
      <c r="DQ84" s="148">
        <f>SUM(DR84,DT84)</f>
        <v>12.304</v>
      </c>
      <c r="DR84" s="149">
        <f>SUM(DR86:DR88)</f>
        <v>3.48</v>
      </c>
      <c r="DS84" s="150">
        <f>SUM(DS86:DS88)</f>
        <v>0</v>
      </c>
      <c r="DT84" s="151">
        <f>SUM(DT86:DT89)</f>
        <v>8.8239999999999998</v>
      </c>
      <c r="DU84" s="175">
        <f>SUM(DV84,DX84)</f>
        <v>11.824</v>
      </c>
      <c r="DV84" s="176">
        <f>SUM(DV86:DV89)</f>
        <v>11.824</v>
      </c>
      <c r="DW84" s="177">
        <f>SUM(DW86:DW89)</f>
        <v>2.577</v>
      </c>
      <c r="DX84" s="178">
        <f>SUM(DX86:DX89)</f>
        <v>0</v>
      </c>
      <c r="DY84" s="175">
        <f>SUM(DZ84,EB84)</f>
        <v>0</v>
      </c>
      <c r="DZ84" s="176">
        <f>SUM(DZ86:DZ88)</f>
        <v>0</v>
      </c>
      <c r="EA84" s="177">
        <f>SUM(EA86:EA88)</f>
        <v>0</v>
      </c>
      <c r="EB84" s="178">
        <f>SUM(EB86:EB89)</f>
        <v>0</v>
      </c>
      <c r="EC84" s="148">
        <f>SUM(ED84,EF84)</f>
        <v>445.64800000000002</v>
      </c>
      <c r="ED84" s="149">
        <f>SUM(ED86:ED89)</f>
        <v>416.79900000000004</v>
      </c>
      <c r="EE84" s="150">
        <f>SUM(EE86:EE89)</f>
        <v>275.779</v>
      </c>
      <c r="EF84" s="151">
        <f>SUM(EF86:EF89)</f>
        <v>28.848999999999997</v>
      </c>
      <c r="EG84" s="148">
        <f>SUM(EH84,EJ84)</f>
        <v>12.304</v>
      </c>
      <c r="EH84" s="149">
        <f>SUM(EH86:EH88)</f>
        <v>3.48</v>
      </c>
      <c r="EI84" s="150">
        <f>SUM(EI86:EI88)</f>
        <v>0</v>
      </c>
      <c r="EJ84" s="151">
        <f>SUM(EJ86:EJ89)</f>
        <v>8.8239999999999998</v>
      </c>
      <c r="EK84" s="155">
        <f t="shared" si="648"/>
        <v>5.2149999999999181</v>
      </c>
      <c r="EL84" s="152">
        <f t="shared" si="649"/>
        <v>-6.3290000000000646</v>
      </c>
      <c r="EM84" s="148">
        <f t="shared" si="714"/>
        <v>439.31899999999996</v>
      </c>
      <c r="EN84" s="149">
        <f>SUM(EN86:EN89)</f>
        <v>432.81899999999996</v>
      </c>
      <c r="EO84" s="150">
        <f>SUM(EO86:EO89)</f>
        <v>301.20999999999998</v>
      </c>
      <c r="EP84" s="151">
        <f>SUM(EP86:EP89)</f>
        <v>6.5</v>
      </c>
      <c r="EQ84" s="148">
        <f>SUM(ER84,ET84)</f>
        <v>8.2089999999999996</v>
      </c>
      <c r="ER84" s="149">
        <f>SUM(ER86:ER88)</f>
        <v>6.7089999999999996</v>
      </c>
      <c r="ES84" s="150">
        <f>SUM(ES86:ES88)</f>
        <v>0.51</v>
      </c>
      <c r="ET84" s="151">
        <f>SUM(ET86:ET89)</f>
        <v>1.5</v>
      </c>
    </row>
    <row r="85" spans="1:150" ht="16.5" customHeight="1" x14ac:dyDescent="0.3">
      <c r="A85" s="50"/>
      <c r="B85" s="6" t="s">
        <v>2</v>
      </c>
      <c r="C85" s="51"/>
      <c r="D85" s="94"/>
      <c r="E85" s="105"/>
      <c r="F85" s="106"/>
      <c r="G85" s="107"/>
      <c r="H85" s="108"/>
      <c r="I85" s="105"/>
      <c r="J85" s="106"/>
      <c r="K85" s="107"/>
      <c r="L85" s="108"/>
      <c r="M85" s="105"/>
      <c r="N85" s="106"/>
      <c r="O85" s="107"/>
      <c r="P85" s="108"/>
      <c r="Q85" s="105"/>
      <c r="R85" s="106"/>
      <c r="S85" s="107"/>
      <c r="T85" s="108"/>
      <c r="U85" s="105"/>
      <c r="V85" s="106"/>
      <c r="W85" s="107"/>
      <c r="X85" s="108"/>
      <c r="Y85" s="105"/>
      <c r="Z85" s="106"/>
      <c r="AA85" s="107"/>
      <c r="AB85" s="108"/>
      <c r="AC85" s="105"/>
      <c r="AD85" s="106"/>
      <c r="AE85" s="107"/>
      <c r="AF85" s="108"/>
      <c r="AG85" s="105"/>
      <c r="AH85" s="106"/>
      <c r="AI85" s="107"/>
      <c r="AJ85" s="108"/>
      <c r="AK85" s="105"/>
      <c r="AL85" s="106"/>
      <c r="AM85" s="107"/>
      <c r="AN85" s="108"/>
      <c r="AO85" s="105"/>
      <c r="AP85" s="106"/>
      <c r="AQ85" s="107"/>
      <c r="AR85" s="108"/>
      <c r="AS85" s="105"/>
      <c r="AT85" s="106"/>
      <c r="AU85" s="107"/>
      <c r="AV85" s="108"/>
      <c r="AW85" s="105"/>
      <c r="AX85" s="106"/>
      <c r="AY85" s="107"/>
      <c r="AZ85" s="108"/>
      <c r="BA85" s="105"/>
      <c r="BB85" s="106"/>
      <c r="BC85" s="107"/>
      <c r="BD85" s="108"/>
      <c r="BE85" s="105"/>
      <c r="BF85" s="106"/>
      <c r="BG85" s="107"/>
      <c r="BH85" s="108"/>
      <c r="BI85" s="105"/>
      <c r="BJ85" s="106"/>
      <c r="BK85" s="107"/>
      <c r="BL85" s="108"/>
      <c r="BM85" s="105"/>
      <c r="BN85" s="106"/>
      <c r="BO85" s="107"/>
      <c r="BP85" s="108"/>
      <c r="BQ85" s="105"/>
      <c r="BR85" s="106"/>
      <c r="BS85" s="107"/>
      <c r="BT85" s="108"/>
      <c r="BU85" s="105"/>
      <c r="BV85" s="106"/>
      <c r="BW85" s="107"/>
      <c r="BX85" s="108"/>
      <c r="BY85" s="164"/>
      <c r="BZ85" s="147"/>
      <c r="CA85" s="161"/>
      <c r="CB85" s="162"/>
      <c r="CC85" s="164"/>
      <c r="CD85" s="147"/>
      <c r="CE85" s="161"/>
      <c r="CF85" s="162"/>
      <c r="CG85" s="105"/>
      <c r="CH85" s="106"/>
      <c r="CI85" s="107"/>
      <c r="CJ85" s="108"/>
      <c r="CK85" s="105"/>
      <c r="CL85" s="106"/>
      <c r="CM85" s="107"/>
      <c r="CN85" s="108"/>
      <c r="CO85" s="164"/>
      <c r="CP85" s="147"/>
      <c r="CQ85" s="161"/>
      <c r="CR85" s="162"/>
      <c r="CS85" s="164"/>
      <c r="CT85" s="147"/>
      <c r="CU85" s="161"/>
      <c r="CV85" s="162"/>
      <c r="CW85" s="105"/>
      <c r="CX85" s="106"/>
      <c r="CY85" s="107"/>
      <c r="CZ85" s="108"/>
      <c r="DA85" s="105"/>
      <c r="DB85" s="106"/>
      <c r="DC85" s="107"/>
      <c r="DD85" s="108"/>
      <c r="DE85" s="164"/>
      <c r="DF85" s="147"/>
      <c r="DG85" s="161"/>
      <c r="DH85" s="162"/>
      <c r="DI85" s="164"/>
      <c r="DJ85" s="147"/>
      <c r="DK85" s="161"/>
      <c r="DL85" s="162"/>
      <c r="DM85" s="105"/>
      <c r="DN85" s="106"/>
      <c r="DO85" s="107"/>
      <c r="DP85" s="108"/>
      <c r="DQ85" s="105"/>
      <c r="DR85" s="106"/>
      <c r="DS85" s="107"/>
      <c r="DT85" s="108"/>
      <c r="DU85" s="164"/>
      <c r="DV85" s="147"/>
      <c r="DW85" s="161"/>
      <c r="DX85" s="162"/>
      <c r="DY85" s="164"/>
      <c r="DZ85" s="147"/>
      <c r="EA85" s="161"/>
      <c r="EB85" s="162"/>
      <c r="EC85" s="105"/>
      <c r="ED85" s="106"/>
      <c r="EE85" s="107"/>
      <c r="EF85" s="108"/>
      <c r="EG85" s="105"/>
      <c r="EH85" s="106"/>
      <c r="EI85" s="107"/>
      <c r="EJ85" s="108"/>
      <c r="EK85" s="153">
        <f t="shared" si="648"/>
        <v>0</v>
      </c>
      <c r="EL85" s="153">
        <f t="shared" si="649"/>
        <v>0</v>
      </c>
      <c r="EM85" s="105"/>
      <c r="EN85" s="106"/>
      <c r="EO85" s="107"/>
      <c r="EP85" s="108"/>
      <c r="EQ85" s="105"/>
      <c r="ER85" s="106"/>
      <c r="ES85" s="107"/>
      <c r="ET85" s="108"/>
    </row>
    <row r="86" spans="1:150" s="4" customFormat="1" ht="21.65" customHeight="1" x14ac:dyDescent="0.25">
      <c r="A86" s="704" t="s">
        <v>26</v>
      </c>
      <c r="B86" s="702" t="s">
        <v>42</v>
      </c>
      <c r="C86" s="48" t="s">
        <v>67</v>
      </c>
      <c r="D86" s="93" t="s">
        <v>37</v>
      </c>
      <c r="E86" s="105">
        <f>SUM(F86,H86)</f>
        <v>337.58000000000004</v>
      </c>
      <c r="F86" s="106">
        <f>331.42+6.16</f>
        <v>337.58000000000004</v>
      </c>
      <c r="G86" s="107">
        <f>275.3+6.08-5.35</f>
        <v>276.02999999999997</v>
      </c>
      <c r="H86" s="108"/>
      <c r="I86" s="105">
        <f>SUM(J86,L86)</f>
        <v>0</v>
      </c>
      <c r="J86" s="106"/>
      <c r="K86" s="107"/>
      <c r="L86" s="108"/>
      <c r="M86" s="105">
        <f>SUM(N86,P86)</f>
        <v>0</v>
      </c>
      <c r="N86" s="106"/>
      <c r="O86" s="107"/>
      <c r="P86" s="108"/>
      <c r="Q86" s="105">
        <f>SUM(R86,T86)</f>
        <v>0</v>
      </c>
      <c r="R86" s="106"/>
      <c r="S86" s="107"/>
      <c r="T86" s="108"/>
      <c r="U86" s="105">
        <f t="shared" ref="U86" si="740">SUM(V86,X86)</f>
        <v>337.58000000000004</v>
      </c>
      <c r="V86" s="106">
        <f t="shared" ref="V86" si="741">F86+N86</f>
        <v>337.58000000000004</v>
      </c>
      <c r="W86" s="107">
        <f t="shared" ref="W86" si="742">G86+O86</f>
        <v>276.02999999999997</v>
      </c>
      <c r="X86" s="108">
        <f t="shared" ref="X86" si="743">H86+P86</f>
        <v>0</v>
      </c>
      <c r="Y86" s="105">
        <f t="shared" ref="Y86" si="744">SUM(Z86,AB86)</f>
        <v>0</v>
      </c>
      <c r="Z86" s="106">
        <f t="shared" ref="Z86" si="745">J86+R86</f>
        <v>0</v>
      </c>
      <c r="AA86" s="107">
        <f t="shared" ref="AA86" si="746">K86+S86</f>
        <v>0</v>
      </c>
      <c r="AB86" s="108">
        <f t="shared" ref="AB86" si="747">L86+T86</f>
        <v>0</v>
      </c>
      <c r="AC86" s="105">
        <f>SUM(AD86,AF86)</f>
        <v>0</v>
      </c>
      <c r="AD86" s="106"/>
      <c r="AE86" s="107"/>
      <c r="AF86" s="108"/>
      <c r="AG86" s="105">
        <f>SUM(AH86,AJ86)</f>
        <v>0</v>
      </c>
      <c r="AH86" s="106"/>
      <c r="AI86" s="107"/>
      <c r="AJ86" s="108"/>
      <c r="AK86" s="105">
        <f t="shared" ref="AK86:AK89" si="748">SUM(AL86,AN86)</f>
        <v>337.58000000000004</v>
      </c>
      <c r="AL86" s="106">
        <f t="shared" ref="AL86:AL89" si="749">V86+AD86</f>
        <v>337.58000000000004</v>
      </c>
      <c r="AM86" s="107">
        <f t="shared" ref="AM86:AM89" si="750">W86+AE86</f>
        <v>276.02999999999997</v>
      </c>
      <c r="AN86" s="108">
        <f t="shared" ref="AN86:AN89" si="751">X86+AF86</f>
        <v>0</v>
      </c>
      <c r="AO86" s="105">
        <f t="shared" ref="AO86:AO89" si="752">SUM(AP86,AR86)</f>
        <v>0</v>
      </c>
      <c r="AP86" s="106">
        <f t="shared" ref="AP86:AP89" si="753">Z86+AH86</f>
        <v>0</v>
      </c>
      <c r="AQ86" s="107">
        <f t="shared" ref="AQ86:AQ89" si="754">AA86+AI86</f>
        <v>0</v>
      </c>
      <c r="AR86" s="108">
        <f t="shared" ref="AR86:AR89" si="755">AB86+AJ86</f>
        <v>0</v>
      </c>
      <c r="AS86" s="105">
        <f>SUM(AT86,AV86)</f>
        <v>-0.8</v>
      </c>
      <c r="AT86" s="106">
        <v>-0.8</v>
      </c>
      <c r="AU86" s="107">
        <v>-0.78900000000000003</v>
      </c>
      <c r="AV86" s="108"/>
      <c r="AW86" s="105">
        <f>SUM(AX86,AZ86)</f>
        <v>0</v>
      </c>
      <c r="AX86" s="106"/>
      <c r="AY86" s="107"/>
      <c r="AZ86" s="108"/>
      <c r="BA86" s="105">
        <f t="shared" ref="BA86:BA89" si="756">SUM(BB86,BD86)</f>
        <v>336.78000000000003</v>
      </c>
      <c r="BB86" s="106">
        <f t="shared" ref="BB86:BB89" si="757">AL86+AT86</f>
        <v>336.78000000000003</v>
      </c>
      <c r="BC86" s="107">
        <f t="shared" ref="BC86:BC89" si="758">AM86+AU86</f>
        <v>275.24099999999999</v>
      </c>
      <c r="BD86" s="108">
        <f t="shared" ref="BD86:BD89" si="759">AN86+AV86</f>
        <v>0</v>
      </c>
      <c r="BE86" s="105">
        <f t="shared" ref="BE86:BE89" si="760">SUM(BF86,BH86)</f>
        <v>0</v>
      </c>
      <c r="BF86" s="106">
        <f t="shared" ref="BF86:BF89" si="761">AP86+AX86</f>
        <v>0</v>
      </c>
      <c r="BG86" s="107">
        <f t="shared" ref="BG86:BG89" si="762">AQ86+AY86</f>
        <v>0</v>
      </c>
      <c r="BH86" s="108">
        <f t="shared" ref="BH86:BH89" si="763">AR86+AZ86</f>
        <v>0</v>
      </c>
      <c r="BI86" s="105">
        <f>SUM(BJ86,BL86)</f>
        <v>0</v>
      </c>
      <c r="BJ86" s="106"/>
      <c r="BK86" s="107"/>
      <c r="BL86" s="108"/>
      <c r="BM86" s="105">
        <f>SUM(BN86,BP86)</f>
        <v>0</v>
      </c>
      <c r="BN86" s="106"/>
      <c r="BO86" s="107"/>
      <c r="BP86" s="108"/>
      <c r="BQ86" s="105">
        <f t="shared" ref="BQ86:BQ89" si="764">SUM(BR86,BT86)</f>
        <v>336.78000000000003</v>
      </c>
      <c r="BR86" s="106">
        <f t="shared" ref="BR86:BR89" si="765">BB86+BJ86</f>
        <v>336.78000000000003</v>
      </c>
      <c r="BS86" s="107">
        <f t="shared" ref="BS86:BS89" si="766">BC86+BK86</f>
        <v>275.24099999999999</v>
      </c>
      <c r="BT86" s="108">
        <f t="shared" ref="BT86:BT89" si="767">BD86+BL86</f>
        <v>0</v>
      </c>
      <c r="BU86" s="105">
        <f t="shared" ref="BU86:BU89" si="768">SUM(BV86,BX86)</f>
        <v>0</v>
      </c>
      <c r="BV86" s="106">
        <f t="shared" ref="BV86:BV89" si="769">BF86+BN86</f>
        <v>0</v>
      </c>
      <c r="BW86" s="107">
        <f t="shared" ref="BW86:BW89" si="770">BG86+BO86</f>
        <v>0</v>
      </c>
      <c r="BX86" s="108">
        <f t="shared" ref="BX86:BX89" si="771">BH86+BP86</f>
        <v>0</v>
      </c>
      <c r="BY86" s="164">
        <f>SUM(BZ86,CB86)</f>
        <v>0</v>
      </c>
      <c r="BZ86" s="147"/>
      <c r="CA86" s="161"/>
      <c r="CB86" s="162"/>
      <c r="CC86" s="164">
        <f>SUM(CD86,CF86)</f>
        <v>0</v>
      </c>
      <c r="CD86" s="147"/>
      <c r="CE86" s="161"/>
      <c r="CF86" s="162"/>
      <c r="CG86" s="105">
        <f t="shared" ref="CG86:CG89" si="772">SUM(CH86,CJ86)</f>
        <v>336.78000000000003</v>
      </c>
      <c r="CH86" s="106">
        <f t="shared" ref="CH86:CH89" si="773">BR86+BZ86</f>
        <v>336.78000000000003</v>
      </c>
      <c r="CI86" s="107">
        <f t="shared" ref="CI86:CI89" si="774">BS86+CA86</f>
        <v>275.24099999999999</v>
      </c>
      <c r="CJ86" s="108">
        <f t="shared" ref="CJ86:CJ89" si="775">BT86+CB86</f>
        <v>0</v>
      </c>
      <c r="CK86" s="105">
        <f t="shared" ref="CK86:CK89" si="776">SUM(CL86,CN86)</f>
        <v>0</v>
      </c>
      <c r="CL86" s="106">
        <f t="shared" ref="CL86:CL89" si="777">BV86+CD86</f>
        <v>0</v>
      </c>
      <c r="CM86" s="107">
        <f t="shared" ref="CM86:CM89" si="778">BW86+CE86</f>
        <v>0</v>
      </c>
      <c r="CN86" s="108">
        <f t="shared" ref="CN86:CN89" si="779">BX86+CF86</f>
        <v>0</v>
      </c>
      <c r="CO86" s="164">
        <f>SUM(CP86,CR86)</f>
        <v>0</v>
      </c>
      <c r="CP86" s="147"/>
      <c r="CQ86" s="161">
        <v>-1.704</v>
      </c>
      <c r="CR86" s="162"/>
      <c r="CS86" s="164">
        <f>SUM(CT86,CV86)</f>
        <v>0</v>
      </c>
      <c r="CT86" s="147"/>
      <c r="CU86" s="161"/>
      <c r="CV86" s="162"/>
      <c r="CW86" s="105">
        <f t="shared" ref="CW86:CW89" si="780">SUM(CX86,CZ86)</f>
        <v>336.78000000000003</v>
      </c>
      <c r="CX86" s="106">
        <f t="shared" ref="CX86:CX89" si="781">CH86+CP86</f>
        <v>336.78000000000003</v>
      </c>
      <c r="CY86" s="107">
        <f t="shared" ref="CY86:CY89" si="782">CI86+CQ86</f>
        <v>273.53699999999998</v>
      </c>
      <c r="CZ86" s="108">
        <f t="shared" ref="CZ86:CZ89" si="783">CJ86+CR86</f>
        <v>0</v>
      </c>
      <c r="DA86" s="105">
        <f t="shared" ref="DA86:DA89" si="784">SUM(DB86,DD86)</f>
        <v>0</v>
      </c>
      <c r="DB86" s="106">
        <f t="shared" ref="DB86:DB89" si="785">CL86+CT86</f>
        <v>0</v>
      </c>
      <c r="DC86" s="107">
        <f t="shared" ref="DC86:DC89" si="786">CM86+CU86</f>
        <v>0</v>
      </c>
      <c r="DD86" s="108">
        <f t="shared" ref="DD86:DD89" si="787">CN86+CV86</f>
        <v>0</v>
      </c>
      <c r="DE86" s="164">
        <f>SUM(DF86,DH86)</f>
        <v>0.52</v>
      </c>
      <c r="DF86" s="147">
        <f>0.86-0.34</f>
        <v>0.52</v>
      </c>
      <c r="DG86" s="161">
        <v>-0.33500000000000002</v>
      </c>
      <c r="DH86" s="162"/>
      <c r="DI86" s="164">
        <f>SUM(DJ86,DL86)</f>
        <v>0</v>
      </c>
      <c r="DJ86" s="147"/>
      <c r="DK86" s="161"/>
      <c r="DL86" s="162"/>
      <c r="DM86" s="105">
        <f t="shared" ref="DM86:DM89" si="788">SUM(DN86,DP86)</f>
        <v>337.3</v>
      </c>
      <c r="DN86" s="106">
        <f t="shared" ref="DN86:DN89" si="789">CX86+DF86</f>
        <v>337.3</v>
      </c>
      <c r="DO86" s="107">
        <f t="shared" ref="DO86:DO89" si="790">CY86+DG86</f>
        <v>273.202</v>
      </c>
      <c r="DP86" s="108">
        <f t="shared" ref="DP86:DP89" si="791">CZ86+DH86</f>
        <v>0</v>
      </c>
      <c r="DQ86" s="105">
        <f t="shared" ref="DQ86:DQ89" si="792">SUM(DR86,DT86)</f>
        <v>0</v>
      </c>
      <c r="DR86" s="106">
        <f t="shared" ref="DR86:DR89" si="793">DB86+DJ86</f>
        <v>0</v>
      </c>
      <c r="DS86" s="107">
        <f t="shared" ref="DS86:DS89" si="794">DC86+DK86</f>
        <v>0</v>
      </c>
      <c r="DT86" s="108">
        <f t="shared" ref="DT86:DT89" si="795">DD86+DL86</f>
        <v>0</v>
      </c>
      <c r="DU86" s="164">
        <f>SUM(DV86,DX86)</f>
        <v>7.8239999999999998</v>
      </c>
      <c r="DV86" s="147">
        <v>7.8239999999999998</v>
      </c>
      <c r="DW86" s="161">
        <v>2.577</v>
      </c>
      <c r="DX86" s="162"/>
      <c r="DY86" s="164">
        <f>SUM(DZ86,EB86)</f>
        <v>0</v>
      </c>
      <c r="DZ86" s="147"/>
      <c r="EA86" s="161"/>
      <c r="EB86" s="162"/>
      <c r="EC86" s="105">
        <f t="shared" ref="EC86:EC89" si="796">SUM(ED86,EF86)</f>
        <v>345.12400000000002</v>
      </c>
      <c r="ED86" s="106">
        <f t="shared" ref="ED86:ED89" si="797">DN86+DV86</f>
        <v>345.12400000000002</v>
      </c>
      <c r="EE86" s="107">
        <f t="shared" ref="EE86:EE89" si="798">DO86+DW86</f>
        <v>275.779</v>
      </c>
      <c r="EF86" s="108">
        <f t="shared" ref="EF86:EF89" si="799">DP86+DX86</f>
        <v>0</v>
      </c>
      <c r="EG86" s="105">
        <f t="shared" ref="EG86:EG89" si="800">SUM(EH86,EJ86)</f>
        <v>0</v>
      </c>
      <c r="EH86" s="106">
        <f t="shared" ref="EH86:EH89" si="801">DR86+DZ86</f>
        <v>0</v>
      </c>
      <c r="EI86" s="107">
        <f t="shared" ref="EI86:EI89" si="802">DS86+EA86</f>
        <v>0</v>
      </c>
      <c r="EJ86" s="108">
        <f t="shared" ref="EJ86:EJ89" si="803">DT86+EB86</f>
        <v>0</v>
      </c>
      <c r="EK86" s="163">
        <f t="shared" si="648"/>
        <v>28.519999999999925</v>
      </c>
      <c r="EL86" s="163">
        <f t="shared" si="649"/>
        <v>20.975999999999942</v>
      </c>
      <c r="EM86" s="105">
        <f>SUM(EN86,EP86)</f>
        <v>366.09999999999997</v>
      </c>
      <c r="EN86" s="106">
        <f>ER86+365.58</f>
        <v>366.09999999999997</v>
      </c>
      <c r="EO86" s="107">
        <f>ES86+304.2-3.5</f>
        <v>301.20999999999998</v>
      </c>
      <c r="EP86" s="108"/>
      <c r="EQ86" s="105">
        <f>SUM(ER86,ET86)</f>
        <v>0.52</v>
      </c>
      <c r="ER86" s="106">
        <v>0.52</v>
      </c>
      <c r="ES86" s="107">
        <v>0.51</v>
      </c>
      <c r="ET86" s="108"/>
    </row>
    <row r="87" spans="1:150" s="4" customFormat="1" ht="21.65" customHeight="1" x14ac:dyDescent="0.25">
      <c r="A87" s="716"/>
      <c r="B87" s="719"/>
      <c r="C87" s="48" t="s">
        <v>68</v>
      </c>
      <c r="D87" s="139" t="s">
        <v>52</v>
      </c>
      <c r="E87" s="105">
        <f>SUM(F87,H87)</f>
        <v>69.58</v>
      </c>
      <c r="F87" s="106">
        <f>62.6+J87</f>
        <v>66.08</v>
      </c>
      <c r="G87" s="107"/>
      <c r="H87" s="108">
        <f>L87</f>
        <v>3.5</v>
      </c>
      <c r="I87" s="105">
        <f>SUM(J87,L87)</f>
        <v>6.98</v>
      </c>
      <c r="J87" s="106">
        <v>3.48</v>
      </c>
      <c r="K87" s="107"/>
      <c r="L87" s="108">
        <v>3.5</v>
      </c>
      <c r="M87" s="105">
        <f>SUM(N87,P87)</f>
        <v>0</v>
      </c>
      <c r="N87" s="106"/>
      <c r="O87" s="107"/>
      <c r="P87" s="108"/>
      <c r="Q87" s="105">
        <f>SUM(R87,T87)</f>
        <v>0</v>
      </c>
      <c r="R87" s="106"/>
      <c r="S87" s="107"/>
      <c r="T87" s="108"/>
      <c r="U87" s="105">
        <f t="shared" ref="U87:U89" si="804">SUM(V87,X87)</f>
        <v>69.58</v>
      </c>
      <c r="V87" s="106">
        <f t="shared" ref="V87:V89" si="805">F87+N87</f>
        <v>66.08</v>
      </c>
      <c r="W87" s="107">
        <f t="shared" ref="W87:W89" si="806">G87+O87</f>
        <v>0</v>
      </c>
      <c r="X87" s="108">
        <f t="shared" ref="X87:X89" si="807">H87+P87</f>
        <v>3.5</v>
      </c>
      <c r="Y87" s="105">
        <f t="shared" ref="Y87:Y89" si="808">SUM(Z87,AB87)</f>
        <v>6.98</v>
      </c>
      <c r="Z87" s="106">
        <f t="shared" ref="Z87:Z89" si="809">J87+R87</f>
        <v>3.48</v>
      </c>
      <c r="AA87" s="107">
        <f t="shared" ref="AA87:AA89" si="810">K87+S87</f>
        <v>0</v>
      </c>
      <c r="AB87" s="108">
        <f t="shared" ref="AB87:AB89" si="811">L87+T87</f>
        <v>3.5</v>
      </c>
      <c r="AC87" s="105">
        <f>SUM(AD87,AF87)</f>
        <v>0</v>
      </c>
      <c r="AD87" s="106"/>
      <c r="AE87" s="107"/>
      <c r="AF87" s="108"/>
      <c r="AG87" s="105">
        <f>SUM(AH87,AJ87)</f>
        <v>0</v>
      </c>
      <c r="AH87" s="106"/>
      <c r="AI87" s="107"/>
      <c r="AJ87" s="108"/>
      <c r="AK87" s="105">
        <f t="shared" si="748"/>
        <v>69.58</v>
      </c>
      <c r="AL87" s="106">
        <f t="shared" si="749"/>
        <v>66.08</v>
      </c>
      <c r="AM87" s="107">
        <f t="shared" si="750"/>
        <v>0</v>
      </c>
      <c r="AN87" s="108">
        <f t="shared" si="751"/>
        <v>3.5</v>
      </c>
      <c r="AO87" s="105">
        <f t="shared" si="752"/>
        <v>6.98</v>
      </c>
      <c r="AP87" s="106">
        <f t="shared" si="753"/>
        <v>3.48</v>
      </c>
      <c r="AQ87" s="107">
        <f t="shared" si="754"/>
        <v>0</v>
      </c>
      <c r="AR87" s="108">
        <f t="shared" si="755"/>
        <v>3.5</v>
      </c>
      <c r="AS87" s="105">
        <f>SUM(AT87,AV87)</f>
        <v>0</v>
      </c>
      <c r="AT87" s="106"/>
      <c r="AU87" s="107"/>
      <c r="AV87" s="108"/>
      <c r="AW87" s="105">
        <f>SUM(AX87,AZ87)</f>
        <v>0</v>
      </c>
      <c r="AX87" s="106"/>
      <c r="AY87" s="107"/>
      <c r="AZ87" s="108"/>
      <c r="BA87" s="105">
        <f t="shared" si="756"/>
        <v>69.58</v>
      </c>
      <c r="BB87" s="106">
        <f t="shared" si="757"/>
        <v>66.08</v>
      </c>
      <c r="BC87" s="107">
        <f t="shared" si="758"/>
        <v>0</v>
      </c>
      <c r="BD87" s="108">
        <f t="shared" si="759"/>
        <v>3.5</v>
      </c>
      <c r="BE87" s="105">
        <f t="shared" si="760"/>
        <v>6.98</v>
      </c>
      <c r="BF87" s="106">
        <f t="shared" si="761"/>
        <v>3.48</v>
      </c>
      <c r="BG87" s="107">
        <f t="shared" si="762"/>
        <v>0</v>
      </c>
      <c r="BH87" s="108">
        <f t="shared" si="763"/>
        <v>3.5</v>
      </c>
      <c r="BI87" s="105">
        <f>SUM(BJ87,BL87)</f>
        <v>0</v>
      </c>
      <c r="BJ87" s="106"/>
      <c r="BK87" s="107"/>
      <c r="BL87" s="108"/>
      <c r="BM87" s="105">
        <f>SUM(BN87,BP87)</f>
        <v>0</v>
      </c>
      <c r="BN87" s="106"/>
      <c r="BO87" s="107"/>
      <c r="BP87" s="108"/>
      <c r="BQ87" s="105">
        <f t="shared" si="764"/>
        <v>69.58</v>
      </c>
      <c r="BR87" s="106">
        <f t="shared" si="765"/>
        <v>66.08</v>
      </c>
      <c r="BS87" s="107">
        <f t="shared" si="766"/>
        <v>0</v>
      </c>
      <c r="BT87" s="108">
        <f t="shared" si="767"/>
        <v>3.5</v>
      </c>
      <c r="BU87" s="105">
        <f t="shared" si="768"/>
        <v>6.98</v>
      </c>
      <c r="BV87" s="106">
        <f t="shared" si="769"/>
        <v>3.48</v>
      </c>
      <c r="BW87" s="107">
        <f t="shared" si="770"/>
        <v>0</v>
      </c>
      <c r="BX87" s="108">
        <f t="shared" si="771"/>
        <v>3.5</v>
      </c>
      <c r="BY87" s="164">
        <f>SUM(BZ87,CB87)</f>
        <v>0</v>
      </c>
      <c r="BZ87" s="147"/>
      <c r="CA87" s="161"/>
      <c r="CB87" s="162"/>
      <c r="CC87" s="164">
        <f>SUM(CD87,CF87)</f>
        <v>0</v>
      </c>
      <c r="CD87" s="147"/>
      <c r="CE87" s="161"/>
      <c r="CF87" s="162"/>
      <c r="CG87" s="105">
        <f t="shared" si="772"/>
        <v>69.58</v>
      </c>
      <c r="CH87" s="106">
        <f t="shared" si="773"/>
        <v>66.08</v>
      </c>
      <c r="CI87" s="107">
        <f t="shared" si="774"/>
        <v>0</v>
      </c>
      <c r="CJ87" s="108">
        <f t="shared" si="775"/>
        <v>3.5</v>
      </c>
      <c r="CK87" s="105">
        <f t="shared" si="776"/>
        <v>6.98</v>
      </c>
      <c r="CL87" s="106">
        <f t="shared" si="777"/>
        <v>3.48</v>
      </c>
      <c r="CM87" s="107">
        <f t="shared" si="778"/>
        <v>0</v>
      </c>
      <c r="CN87" s="108">
        <f t="shared" si="779"/>
        <v>3.5</v>
      </c>
      <c r="CO87" s="164">
        <f>SUM(CP87,CR87)</f>
        <v>0</v>
      </c>
      <c r="CP87" s="147"/>
      <c r="CQ87" s="161"/>
      <c r="CR87" s="162"/>
      <c r="CS87" s="164">
        <f>SUM(CT87,CV87)</f>
        <v>0</v>
      </c>
      <c r="CT87" s="147"/>
      <c r="CU87" s="161"/>
      <c r="CV87" s="162"/>
      <c r="CW87" s="105">
        <f t="shared" si="780"/>
        <v>69.58</v>
      </c>
      <c r="CX87" s="106">
        <f t="shared" si="781"/>
        <v>66.08</v>
      </c>
      <c r="CY87" s="107">
        <f t="shared" si="782"/>
        <v>0</v>
      </c>
      <c r="CZ87" s="108">
        <f t="shared" si="783"/>
        <v>3.5</v>
      </c>
      <c r="DA87" s="105">
        <f t="shared" si="784"/>
        <v>6.98</v>
      </c>
      <c r="DB87" s="106">
        <f t="shared" si="785"/>
        <v>3.48</v>
      </c>
      <c r="DC87" s="107">
        <f t="shared" si="786"/>
        <v>0</v>
      </c>
      <c r="DD87" s="108">
        <f t="shared" si="787"/>
        <v>3.5</v>
      </c>
      <c r="DE87" s="164">
        <f>SUM(DF87,DH87)</f>
        <v>0</v>
      </c>
      <c r="DF87" s="147"/>
      <c r="DG87" s="161"/>
      <c r="DH87" s="162"/>
      <c r="DI87" s="164">
        <f>SUM(DJ87,DL87)</f>
        <v>0</v>
      </c>
      <c r="DJ87" s="147"/>
      <c r="DK87" s="161"/>
      <c r="DL87" s="162"/>
      <c r="DM87" s="105">
        <f t="shared" si="788"/>
        <v>69.58</v>
      </c>
      <c r="DN87" s="106">
        <f t="shared" si="789"/>
        <v>66.08</v>
      </c>
      <c r="DO87" s="107">
        <f t="shared" si="790"/>
        <v>0</v>
      </c>
      <c r="DP87" s="108">
        <f t="shared" si="791"/>
        <v>3.5</v>
      </c>
      <c r="DQ87" s="105">
        <f t="shared" si="792"/>
        <v>6.98</v>
      </c>
      <c r="DR87" s="106">
        <f t="shared" si="793"/>
        <v>3.48</v>
      </c>
      <c r="DS87" s="107">
        <f t="shared" si="794"/>
        <v>0</v>
      </c>
      <c r="DT87" s="108">
        <f t="shared" si="795"/>
        <v>3.5</v>
      </c>
      <c r="DU87" s="164">
        <f>SUM(DV87,DX87)</f>
        <v>4</v>
      </c>
      <c r="DV87" s="147">
        <v>4</v>
      </c>
      <c r="DW87" s="161"/>
      <c r="DX87" s="162"/>
      <c r="DY87" s="164">
        <f>SUM(DZ87,EB87)</f>
        <v>0</v>
      </c>
      <c r="DZ87" s="147"/>
      <c r="EA87" s="161"/>
      <c r="EB87" s="162"/>
      <c r="EC87" s="105">
        <f t="shared" si="796"/>
        <v>73.58</v>
      </c>
      <c r="ED87" s="106">
        <f t="shared" si="797"/>
        <v>70.08</v>
      </c>
      <c r="EE87" s="107">
        <f t="shared" si="798"/>
        <v>0</v>
      </c>
      <c r="EF87" s="108">
        <f t="shared" si="799"/>
        <v>3.5</v>
      </c>
      <c r="EG87" s="105">
        <f t="shared" si="800"/>
        <v>6.98</v>
      </c>
      <c r="EH87" s="106">
        <f t="shared" si="801"/>
        <v>3.48</v>
      </c>
      <c r="EI87" s="107">
        <f t="shared" si="802"/>
        <v>0</v>
      </c>
      <c r="EJ87" s="108">
        <f t="shared" si="803"/>
        <v>3.5</v>
      </c>
      <c r="EK87" s="163">
        <f t="shared" si="648"/>
        <v>0.70900000000000318</v>
      </c>
      <c r="EL87" s="154">
        <f t="shared" si="649"/>
        <v>-3.2909999999999968</v>
      </c>
      <c r="EM87" s="105">
        <f>SUM(EN87,EP87)</f>
        <v>70.289000000000001</v>
      </c>
      <c r="EN87" s="106">
        <f>ER87+60.1</f>
        <v>66.289000000000001</v>
      </c>
      <c r="EO87" s="107"/>
      <c r="EP87" s="108">
        <f>ET87+2.5</f>
        <v>4</v>
      </c>
      <c r="EQ87" s="105">
        <f>SUM(ER87,ET87)</f>
        <v>7.6890000000000001</v>
      </c>
      <c r="ER87" s="106">
        <v>6.1890000000000001</v>
      </c>
      <c r="ES87" s="107"/>
      <c r="ET87" s="108">
        <v>1.5</v>
      </c>
    </row>
    <row r="88" spans="1:150" s="4" customFormat="1" ht="21.65" customHeight="1" x14ac:dyDescent="0.25">
      <c r="A88" s="42" t="s">
        <v>33</v>
      </c>
      <c r="B88" s="103" t="s">
        <v>47</v>
      </c>
      <c r="C88" s="48" t="s">
        <v>163</v>
      </c>
      <c r="D88" s="139" t="s">
        <v>37</v>
      </c>
      <c r="E88" s="105">
        <f>SUM(F88,H88)</f>
        <v>0.62</v>
      </c>
      <c r="F88" s="106">
        <v>0.62</v>
      </c>
      <c r="G88" s="107"/>
      <c r="H88" s="108"/>
      <c r="I88" s="105">
        <f t="shared" ref="I88:I89" si="812">SUM(J88,L88)</f>
        <v>0</v>
      </c>
      <c r="J88" s="106"/>
      <c r="K88" s="107"/>
      <c r="L88" s="108"/>
      <c r="M88" s="105">
        <f>SUM(N88,P88)</f>
        <v>0</v>
      </c>
      <c r="N88" s="106"/>
      <c r="O88" s="107"/>
      <c r="P88" s="108"/>
      <c r="Q88" s="105">
        <f t="shared" ref="Q88:Q89" si="813">SUM(R88,T88)</f>
        <v>0</v>
      </c>
      <c r="R88" s="106"/>
      <c r="S88" s="107"/>
      <c r="T88" s="108"/>
      <c r="U88" s="105">
        <f t="shared" si="804"/>
        <v>0.62</v>
      </c>
      <c r="V88" s="106">
        <f t="shared" si="805"/>
        <v>0.62</v>
      </c>
      <c r="W88" s="107">
        <f t="shared" si="806"/>
        <v>0</v>
      </c>
      <c r="X88" s="108">
        <f t="shared" si="807"/>
        <v>0</v>
      </c>
      <c r="Y88" s="105">
        <f t="shared" si="808"/>
        <v>0</v>
      </c>
      <c r="Z88" s="106">
        <f t="shared" si="809"/>
        <v>0</v>
      </c>
      <c r="AA88" s="107">
        <f t="shared" si="810"/>
        <v>0</v>
      </c>
      <c r="AB88" s="108">
        <f t="shared" si="811"/>
        <v>0</v>
      </c>
      <c r="AC88" s="105">
        <f>SUM(AD88,AF88)</f>
        <v>0</v>
      </c>
      <c r="AD88" s="106"/>
      <c r="AE88" s="107"/>
      <c r="AF88" s="108"/>
      <c r="AG88" s="105">
        <f t="shared" ref="AG88:AG89" si="814">SUM(AH88,AJ88)</f>
        <v>0</v>
      </c>
      <c r="AH88" s="106"/>
      <c r="AI88" s="107"/>
      <c r="AJ88" s="108"/>
      <c r="AK88" s="105">
        <f t="shared" si="748"/>
        <v>0.62</v>
      </c>
      <c r="AL88" s="106">
        <f t="shared" si="749"/>
        <v>0.62</v>
      </c>
      <c r="AM88" s="107">
        <f t="shared" si="750"/>
        <v>0</v>
      </c>
      <c r="AN88" s="108">
        <f t="shared" si="751"/>
        <v>0</v>
      </c>
      <c r="AO88" s="105">
        <f t="shared" si="752"/>
        <v>0</v>
      </c>
      <c r="AP88" s="106">
        <f t="shared" si="753"/>
        <v>0</v>
      </c>
      <c r="AQ88" s="107">
        <f t="shared" si="754"/>
        <v>0</v>
      </c>
      <c r="AR88" s="108">
        <f t="shared" si="755"/>
        <v>0</v>
      </c>
      <c r="AS88" s="105">
        <f>SUM(AT88,AV88)</f>
        <v>0</v>
      </c>
      <c r="AT88" s="106"/>
      <c r="AU88" s="107"/>
      <c r="AV88" s="108"/>
      <c r="AW88" s="105">
        <f t="shared" ref="AW88:AW89" si="815">SUM(AX88,AZ88)</f>
        <v>0</v>
      </c>
      <c r="AX88" s="106"/>
      <c r="AY88" s="107"/>
      <c r="AZ88" s="108"/>
      <c r="BA88" s="105">
        <f t="shared" si="756"/>
        <v>0.62</v>
      </c>
      <c r="BB88" s="106">
        <f t="shared" si="757"/>
        <v>0.62</v>
      </c>
      <c r="BC88" s="107">
        <f t="shared" si="758"/>
        <v>0</v>
      </c>
      <c r="BD88" s="108">
        <f t="shared" si="759"/>
        <v>0</v>
      </c>
      <c r="BE88" s="105">
        <f t="shared" si="760"/>
        <v>0</v>
      </c>
      <c r="BF88" s="106">
        <f t="shared" si="761"/>
        <v>0</v>
      </c>
      <c r="BG88" s="107">
        <f t="shared" si="762"/>
        <v>0</v>
      </c>
      <c r="BH88" s="108">
        <f t="shared" si="763"/>
        <v>0</v>
      </c>
      <c r="BI88" s="105">
        <f>SUM(BJ88,BL88)</f>
        <v>0</v>
      </c>
      <c r="BJ88" s="106"/>
      <c r="BK88" s="107"/>
      <c r="BL88" s="108"/>
      <c r="BM88" s="105">
        <f t="shared" ref="BM88:BM89" si="816">SUM(BN88,BP88)</f>
        <v>0</v>
      </c>
      <c r="BN88" s="106"/>
      <c r="BO88" s="107"/>
      <c r="BP88" s="108"/>
      <c r="BQ88" s="105">
        <f t="shared" si="764"/>
        <v>0.62</v>
      </c>
      <c r="BR88" s="106">
        <f t="shared" si="765"/>
        <v>0.62</v>
      </c>
      <c r="BS88" s="107">
        <f t="shared" si="766"/>
        <v>0</v>
      </c>
      <c r="BT88" s="108">
        <f t="shared" si="767"/>
        <v>0</v>
      </c>
      <c r="BU88" s="105">
        <f t="shared" si="768"/>
        <v>0</v>
      </c>
      <c r="BV88" s="106">
        <f t="shared" si="769"/>
        <v>0</v>
      </c>
      <c r="BW88" s="107">
        <f t="shared" si="770"/>
        <v>0</v>
      </c>
      <c r="BX88" s="108">
        <f t="shared" si="771"/>
        <v>0</v>
      </c>
      <c r="BY88" s="164">
        <f>SUM(BZ88,CB88)</f>
        <v>0</v>
      </c>
      <c r="BZ88" s="147"/>
      <c r="CA88" s="161"/>
      <c r="CB88" s="162"/>
      <c r="CC88" s="164">
        <f t="shared" ref="CC88:CC89" si="817">SUM(CD88,CF88)</f>
        <v>0</v>
      </c>
      <c r="CD88" s="147"/>
      <c r="CE88" s="161"/>
      <c r="CF88" s="162"/>
      <c r="CG88" s="105">
        <f t="shared" si="772"/>
        <v>0.62</v>
      </c>
      <c r="CH88" s="106">
        <f t="shared" si="773"/>
        <v>0.62</v>
      </c>
      <c r="CI88" s="107">
        <f t="shared" si="774"/>
        <v>0</v>
      </c>
      <c r="CJ88" s="108">
        <f t="shared" si="775"/>
        <v>0</v>
      </c>
      <c r="CK88" s="105">
        <f t="shared" si="776"/>
        <v>0</v>
      </c>
      <c r="CL88" s="106">
        <f t="shared" si="777"/>
        <v>0</v>
      </c>
      <c r="CM88" s="107">
        <f t="shared" si="778"/>
        <v>0</v>
      </c>
      <c r="CN88" s="108">
        <f t="shared" si="779"/>
        <v>0</v>
      </c>
      <c r="CO88" s="164">
        <f>SUM(CP88,CR88)</f>
        <v>0</v>
      </c>
      <c r="CP88" s="147"/>
      <c r="CQ88" s="161"/>
      <c r="CR88" s="162"/>
      <c r="CS88" s="164">
        <f t="shared" ref="CS88:CS89" si="818">SUM(CT88,CV88)</f>
        <v>0</v>
      </c>
      <c r="CT88" s="147"/>
      <c r="CU88" s="161"/>
      <c r="CV88" s="162"/>
      <c r="CW88" s="105">
        <f t="shared" si="780"/>
        <v>0.62</v>
      </c>
      <c r="CX88" s="106">
        <f t="shared" si="781"/>
        <v>0.62</v>
      </c>
      <c r="CY88" s="107">
        <f t="shared" si="782"/>
        <v>0</v>
      </c>
      <c r="CZ88" s="108">
        <f t="shared" si="783"/>
        <v>0</v>
      </c>
      <c r="DA88" s="105">
        <f t="shared" si="784"/>
        <v>0</v>
      </c>
      <c r="DB88" s="106">
        <f t="shared" si="785"/>
        <v>0</v>
      </c>
      <c r="DC88" s="107">
        <f t="shared" si="786"/>
        <v>0</v>
      </c>
      <c r="DD88" s="108">
        <f t="shared" si="787"/>
        <v>0</v>
      </c>
      <c r="DE88" s="164">
        <f>SUM(DF88,DH88)</f>
        <v>0</v>
      </c>
      <c r="DF88" s="147"/>
      <c r="DG88" s="161"/>
      <c r="DH88" s="162"/>
      <c r="DI88" s="164">
        <f t="shared" ref="DI88:DI89" si="819">SUM(DJ88,DL88)</f>
        <v>0</v>
      </c>
      <c r="DJ88" s="147"/>
      <c r="DK88" s="161"/>
      <c r="DL88" s="162"/>
      <c r="DM88" s="105">
        <f t="shared" si="788"/>
        <v>0.62</v>
      </c>
      <c r="DN88" s="106">
        <f t="shared" si="789"/>
        <v>0.62</v>
      </c>
      <c r="DO88" s="107">
        <f t="shared" si="790"/>
        <v>0</v>
      </c>
      <c r="DP88" s="108">
        <f t="shared" si="791"/>
        <v>0</v>
      </c>
      <c r="DQ88" s="105">
        <f t="shared" si="792"/>
        <v>0</v>
      </c>
      <c r="DR88" s="106">
        <f t="shared" si="793"/>
        <v>0</v>
      </c>
      <c r="DS88" s="107">
        <f t="shared" si="794"/>
        <v>0</v>
      </c>
      <c r="DT88" s="108">
        <f t="shared" si="795"/>
        <v>0</v>
      </c>
      <c r="DU88" s="164">
        <f>SUM(DV88,DX88)</f>
        <v>0</v>
      </c>
      <c r="DV88" s="147"/>
      <c r="DW88" s="161"/>
      <c r="DX88" s="162"/>
      <c r="DY88" s="164">
        <f t="shared" ref="DY88:DY89" si="820">SUM(DZ88,EB88)</f>
        <v>0</v>
      </c>
      <c r="DZ88" s="147"/>
      <c r="EA88" s="161"/>
      <c r="EB88" s="162"/>
      <c r="EC88" s="105">
        <f t="shared" si="796"/>
        <v>0.62</v>
      </c>
      <c r="ED88" s="106">
        <f t="shared" si="797"/>
        <v>0.62</v>
      </c>
      <c r="EE88" s="107">
        <f t="shared" si="798"/>
        <v>0</v>
      </c>
      <c r="EF88" s="108">
        <f t="shared" si="799"/>
        <v>0</v>
      </c>
      <c r="EG88" s="105">
        <f t="shared" si="800"/>
        <v>0</v>
      </c>
      <c r="EH88" s="106">
        <f t="shared" si="801"/>
        <v>0</v>
      </c>
      <c r="EI88" s="107">
        <f t="shared" si="802"/>
        <v>0</v>
      </c>
      <c r="EJ88" s="108">
        <f t="shared" si="803"/>
        <v>0</v>
      </c>
      <c r="EK88" s="154">
        <f t="shared" si="648"/>
        <v>-0.19</v>
      </c>
      <c r="EL88" s="154">
        <f t="shared" si="649"/>
        <v>-0.19</v>
      </c>
      <c r="EM88" s="105">
        <f>SUM(EN88,EP88)</f>
        <v>0.43</v>
      </c>
      <c r="EN88" s="106">
        <v>0.43</v>
      </c>
      <c r="EO88" s="107"/>
      <c r="EP88" s="108"/>
      <c r="EQ88" s="105">
        <f t="shared" ref="EQ88:EQ89" si="821">SUM(ER88,ET88)</f>
        <v>0</v>
      </c>
      <c r="ER88" s="106"/>
      <c r="ES88" s="107"/>
      <c r="ET88" s="108"/>
    </row>
    <row r="89" spans="1:150" s="4" customFormat="1" ht="21.65" customHeight="1" x14ac:dyDescent="0.25">
      <c r="A89" s="42" t="s">
        <v>7</v>
      </c>
      <c r="B89" s="52" t="s">
        <v>49</v>
      </c>
      <c r="C89" s="48" t="s">
        <v>184</v>
      </c>
      <c r="D89" s="139" t="s">
        <v>37</v>
      </c>
      <c r="E89" s="105">
        <f>SUM(F89,H89)</f>
        <v>26.323999999999998</v>
      </c>
      <c r="F89" s="106">
        <v>10</v>
      </c>
      <c r="G89" s="107"/>
      <c r="H89" s="108">
        <f>11+L89</f>
        <v>16.323999999999998</v>
      </c>
      <c r="I89" s="105">
        <f t="shared" si="812"/>
        <v>5.3239999999999998</v>
      </c>
      <c r="J89" s="106"/>
      <c r="K89" s="107"/>
      <c r="L89" s="108">
        <v>5.3239999999999998</v>
      </c>
      <c r="M89" s="105">
        <f>SUM(N89,P89)</f>
        <v>0</v>
      </c>
      <c r="N89" s="106"/>
      <c r="O89" s="107"/>
      <c r="P89" s="108"/>
      <c r="Q89" s="105">
        <f t="shared" si="813"/>
        <v>0</v>
      </c>
      <c r="R89" s="106"/>
      <c r="S89" s="107"/>
      <c r="T89" s="108"/>
      <c r="U89" s="105">
        <f t="shared" si="804"/>
        <v>26.323999999999998</v>
      </c>
      <c r="V89" s="106">
        <f t="shared" si="805"/>
        <v>10</v>
      </c>
      <c r="W89" s="107">
        <f t="shared" si="806"/>
        <v>0</v>
      </c>
      <c r="X89" s="108">
        <f t="shared" si="807"/>
        <v>16.323999999999998</v>
      </c>
      <c r="Y89" s="105">
        <f t="shared" si="808"/>
        <v>5.3239999999999998</v>
      </c>
      <c r="Z89" s="106">
        <f t="shared" si="809"/>
        <v>0</v>
      </c>
      <c r="AA89" s="107">
        <f t="shared" si="810"/>
        <v>0</v>
      </c>
      <c r="AB89" s="108">
        <f t="shared" si="811"/>
        <v>5.3239999999999998</v>
      </c>
      <c r="AC89" s="105">
        <f>SUM(AD89,AF89)</f>
        <v>0</v>
      </c>
      <c r="AD89" s="106"/>
      <c r="AE89" s="107"/>
      <c r="AF89" s="108"/>
      <c r="AG89" s="105">
        <f t="shared" si="814"/>
        <v>0</v>
      </c>
      <c r="AH89" s="106"/>
      <c r="AI89" s="107"/>
      <c r="AJ89" s="108"/>
      <c r="AK89" s="105">
        <f t="shared" si="748"/>
        <v>26.323999999999998</v>
      </c>
      <c r="AL89" s="106">
        <f t="shared" si="749"/>
        <v>10</v>
      </c>
      <c r="AM89" s="107">
        <f t="shared" si="750"/>
        <v>0</v>
      </c>
      <c r="AN89" s="108">
        <f t="shared" si="751"/>
        <v>16.323999999999998</v>
      </c>
      <c r="AO89" s="105">
        <f t="shared" si="752"/>
        <v>5.3239999999999998</v>
      </c>
      <c r="AP89" s="106">
        <f t="shared" si="753"/>
        <v>0</v>
      </c>
      <c r="AQ89" s="107">
        <f t="shared" si="754"/>
        <v>0</v>
      </c>
      <c r="AR89" s="108">
        <f t="shared" si="755"/>
        <v>5.3239999999999998</v>
      </c>
      <c r="AS89" s="105">
        <f>SUM(AT89,AV89)</f>
        <v>0</v>
      </c>
      <c r="AT89" s="106"/>
      <c r="AU89" s="107"/>
      <c r="AV89" s="108"/>
      <c r="AW89" s="105">
        <f t="shared" si="815"/>
        <v>0</v>
      </c>
      <c r="AX89" s="106"/>
      <c r="AY89" s="107"/>
      <c r="AZ89" s="108"/>
      <c r="BA89" s="105">
        <f t="shared" si="756"/>
        <v>26.323999999999998</v>
      </c>
      <c r="BB89" s="106">
        <f t="shared" si="757"/>
        <v>10</v>
      </c>
      <c r="BC89" s="107">
        <f t="shared" si="758"/>
        <v>0</v>
      </c>
      <c r="BD89" s="108">
        <f t="shared" si="759"/>
        <v>16.323999999999998</v>
      </c>
      <c r="BE89" s="105">
        <f t="shared" si="760"/>
        <v>5.3239999999999998</v>
      </c>
      <c r="BF89" s="106">
        <f t="shared" si="761"/>
        <v>0</v>
      </c>
      <c r="BG89" s="107">
        <f t="shared" si="762"/>
        <v>0</v>
      </c>
      <c r="BH89" s="108">
        <f t="shared" si="763"/>
        <v>5.3239999999999998</v>
      </c>
      <c r="BI89" s="105">
        <f>SUM(BJ89,BL89)</f>
        <v>0</v>
      </c>
      <c r="BJ89" s="106"/>
      <c r="BK89" s="107"/>
      <c r="BL89" s="108"/>
      <c r="BM89" s="105">
        <f t="shared" si="816"/>
        <v>0</v>
      </c>
      <c r="BN89" s="106"/>
      <c r="BO89" s="107"/>
      <c r="BP89" s="108"/>
      <c r="BQ89" s="105">
        <f t="shared" si="764"/>
        <v>26.323999999999998</v>
      </c>
      <c r="BR89" s="106">
        <f t="shared" si="765"/>
        <v>10</v>
      </c>
      <c r="BS89" s="107">
        <f t="shared" si="766"/>
        <v>0</v>
      </c>
      <c r="BT89" s="108">
        <f t="shared" si="767"/>
        <v>16.323999999999998</v>
      </c>
      <c r="BU89" s="105">
        <f t="shared" si="768"/>
        <v>5.3239999999999998</v>
      </c>
      <c r="BV89" s="106">
        <f t="shared" si="769"/>
        <v>0</v>
      </c>
      <c r="BW89" s="107">
        <f t="shared" si="770"/>
        <v>0</v>
      </c>
      <c r="BX89" s="108">
        <f t="shared" si="771"/>
        <v>5.3239999999999998</v>
      </c>
      <c r="BY89" s="164">
        <f>SUM(BZ89,CB89)</f>
        <v>0</v>
      </c>
      <c r="BZ89" s="147">
        <v>-9.0250000000000004</v>
      </c>
      <c r="CA89" s="161"/>
      <c r="CB89" s="162">
        <v>9.0250000000000004</v>
      </c>
      <c r="CC89" s="164">
        <f t="shared" si="817"/>
        <v>0</v>
      </c>
      <c r="CD89" s="147"/>
      <c r="CE89" s="161"/>
      <c r="CF89" s="162"/>
      <c r="CG89" s="105">
        <f t="shared" si="772"/>
        <v>26.323999999999998</v>
      </c>
      <c r="CH89" s="106">
        <f t="shared" si="773"/>
        <v>0.97499999999999964</v>
      </c>
      <c r="CI89" s="107">
        <f t="shared" si="774"/>
        <v>0</v>
      </c>
      <c r="CJ89" s="108">
        <f t="shared" si="775"/>
        <v>25.348999999999997</v>
      </c>
      <c r="CK89" s="105">
        <f t="shared" si="776"/>
        <v>5.3239999999999998</v>
      </c>
      <c r="CL89" s="106">
        <f t="shared" si="777"/>
        <v>0</v>
      </c>
      <c r="CM89" s="107">
        <f t="shared" si="778"/>
        <v>0</v>
      </c>
      <c r="CN89" s="108">
        <f t="shared" si="779"/>
        <v>5.3239999999999998</v>
      </c>
      <c r="CO89" s="164">
        <f>SUM(CP89,CR89)</f>
        <v>0</v>
      </c>
      <c r="CP89" s="147"/>
      <c r="CQ89" s="161"/>
      <c r="CR89" s="162"/>
      <c r="CS89" s="164">
        <f t="shared" si="818"/>
        <v>0</v>
      </c>
      <c r="CT89" s="147"/>
      <c r="CU89" s="161"/>
      <c r="CV89" s="162"/>
      <c r="CW89" s="105">
        <f t="shared" si="780"/>
        <v>26.323999999999998</v>
      </c>
      <c r="CX89" s="106">
        <f t="shared" si="781"/>
        <v>0.97499999999999964</v>
      </c>
      <c r="CY89" s="107">
        <f t="shared" si="782"/>
        <v>0</v>
      </c>
      <c r="CZ89" s="108">
        <f t="shared" si="783"/>
        <v>25.348999999999997</v>
      </c>
      <c r="DA89" s="105">
        <f t="shared" si="784"/>
        <v>5.3239999999999998</v>
      </c>
      <c r="DB89" s="106">
        <f t="shared" si="785"/>
        <v>0</v>
      </c>
      <c r="DC89" s="107">
        <f t="shared" si="786"/>
        <v>0</v>
      </c>
      <c r="DD89" s="108">
        <f t="shared" si="787"/>
        <v>5.3239999999999998</v>
      </c>
      <c r="DE89" s="164">
        <f>SUM(DF89,DH89)</f>
        <v>0</v>
      </c>
      <c r="DF89" s="147"/>
      <c r="DG89" s="161"/>
      <c r="DH89" s="162"/>
      <c r="DI89" s="164">
        <f t="shared" si="819"/>
        <v>0</v>
      </c>
      <c r="DJ89" s="147"/>
      <c r="DK89" s="161"/>
      <c r="DL89" s="162"/>
      <c r="DM89" s="105">
        <f t="shared" si="788"/>
        <v>26.323999999999998</v>
      </c>
      <c r="DN89" s="106">
        <f t="shared" si="789"/>
        <v>0.97499999999999964</v>
      </c>
      <c r="DO89" s="107">
        <f t="shared" si="790"/>
        <v>0</v>
      </c>
      <c r="DP89" s="108">
        <f t="shared" si="791"/>
        <v>25.348999999999997</v>
      </c>
      <c r="DQ89" s="105">
        <f t="shared" si="792"/>
        <v>5.3239999999999998</v>
      </c>
      <c r="DR89" s="106">
        <f t="shared" si="793"/>
        <v>0</v>
      </c>
      <c r="DS89" s="107">
        <f t="shared" si="794"/>
        <v>0</v>
      </c>
      <c r="DT89" s="108">
        <f t="shared" si="795"/>
        <v>5.3239999999999998</v>
      </c>
      <c r="DU89" s="164">
        <f>SUM(DV89,DX89)</f>
        <v>0</v>
      </c>
      <c r="DV89" s="147"/>
      <c r="DW89" s="161"/>
      <c r="DX89" s="162"/>
      <c r="DY89" s="164">
        <f t="shared" si="820"/>
        <v>0</v>
      </c>
      <c r="DZ89" s="147"/>
      <c r="EA89" s="161"/>
      <c r="EB89" s="162"/>
      <c r="EC89" s="105">
        <f t="shared" si="796"/>
        <v>26.323999999999998</v>
      </c>
      <c r="ED89" s="106">
        <f t="shared" si="797"/>
        <v>0.97499999999999964</v>
      </c>
      <c r="EE89" s="107">
        <f t="shared" si="798"/>
        <v>0</v>
      </c>
      <c r="EF89" s="108">
        <f t="shared" si="799"/>
        <v>25.348999999999997</v>
      </c>
      <c r="EG89" s="105">
        <f t="shared" si="800"/>
        <v>5.3239999999999998</v>
      </c>
      <c r="EH89" s="106">
        <f t="shared" si="801"/>
        <v>0</v>
      </c>
      <c r="EI89" s="107">
        <f t="shared" si="802"/>
        <v>0</v>
      </c>
      <c r="EJ89" s="108">
        <f t="shared" si="803"/>
        <v>5.3239999999999998</v>
      </c>
      <c r="EK89" s="154">
        <f t="shared" si="648"/>
        <v>-23.823999999999998</v>
      </c>
      <c r="EL89" s="154">
        <f t="shared" si="649"/>
        <v>-23.823999999999998</v>
      </c>
      <c r="EM89" s="105">
        <f>SUM(EN89,EP89)</f>
        <v>2.5</v>
      </c>
      <c r="EN89" s="106"/>
      <c r="EO89" s="107"/>
      <c r="EP89" s="108">
        <v>2.5</v>
      </c>
      <c r="EQ89" s="105">
        <f t="shared" si="821"/>
        <v>0</v>
      </c>
      <c r="ER89" s="106"/>
      <c r="ES89" s="107"/>
      <c r="ET89" s="108"/>
    </row>
    <row r="90" spans="1:150" ht="24" customHeight="1" x14ac:dyDescent="0.3">
      <c r="A90" s="46"/>
      <c r="B90" s="33" t="s">
        <v>12</v>
      </c>
      <c r="C90" s="47" t="s">
        <v>102</v>
      </c>
      <c r="D90" s="94"/>
      <c r="E90" s="148">
        <f>SUM(F90,H90)</f>
        <v>453.46299999999991</v>
      </c>
      <c r="F90" s="149">
        <f>SUM(F92:F96)</f>
        <v>432.82299999999992</v>
      </c>
      <c r="G90" s="150">
        <f>SUM(G92:G94)</f>
        <v>280.10000000000002</v>
      </c>
      <c r="H90" s="151">
        <f>SUM(H92:H96)</f>
        <v>20.64</v>
      </c>
      <c r="I90" s="148">
        <f>SUM(J90,L90)</f>
        <v>15.983000000000001</v>
      </c>
      <c r="J90" s="149">
        <f>SUM(J92:J96)</f>
        <v>11.273</v>
      </c>
      <c r="K90" s="150">
        <f>SUM(K92:K94)</f>
        <v>0</v>
      </c>
      <c r="L90" s="151">
        <f>SUM(L92:L96)</f>
        <v>4.71</v>
      </c>
      <c r="M90" s="148">
        <f>SUM(N90,P90)</f>
        <v>1</v>
      </c>
      <c r="N90" s="149">
        <f>SUM(N92:N96)</f>
        <v>0</v>
      </c>
      <c r="O90" s="150">
        <f>SUM(O92:O94)</f>
        <v>0</v>
      </c>
      <c r="P90" s="151">
        <f>SUM(P92:P96)</f>
        <v>1</v>
      </c>
      <c r="Q90" s="148">
        <f>SUM(R90,T90)</f>
        <v>1</v>
      </c>
      <c r="R90" s="149">
        <f>SUM(R92:R96)</f>
        <v>0</v>
      </c>
      <c r="S90" s="150">
        <f>SUM(S92:S94)</f>
        <v>0</v>
      </c>
      <c r="T90" s="151">
        <f>SUM(T92:T96)</f>
        <v>1</v>
      </c>
      <c r="U90" s="148">
        <f>SUM(V90,X90)</f>
        <v>454.46299999999991</v>
      </c>
      <c r="V90" s="149">
        <f>SUM(V92:V96)</f>
        <v>432.82299999999992</v>
      </c>
      <c r="W90" s="150">
        <f>SUM(W92:W94)</f>
        <v>280.10000000000002</v>
      </c>
      <c r="X90" s="151">
        <f>SUM(X92:X96)</f>
        <v>21.64</v>
      </c>
      <c r="Y90" s="148">
        <f>SUM(Z90,AB90)</f>
        <v>16.983000000000001</v>
      </c>
      <c r="Z90" s="149">
        <f>SUM(Z92:Z96)</f>
        <v>11.273</v>
      </c>
      <c r="AA90" s="150">
        <f>SUM(AA92:AA94)</f>
        <v>0</v>
      </c>
      <c r="AB90" s="151">
        <f>SUM(AB92:AB96)</f>
        <v>5.71</v>
      </c>
      <c r="AC90" s="148">
        <f>SUM(AD90,AF90)</f>
        <v>0.28700000000000003</v>
      </c>
      <c r="AD90" s="149">
        <f>SUM(AD92:AD96)</f>
        <v>0.44</v>
      </c>
      <c r="AE90" s="150">
        <f>SUM(AE92:AE94)</f>
        <v>0</v>
      </c>
      <c r="AF90" s="151">
        <f>SUM(AF92:AF96)</f>
        <v>-0.153</v>
      </c>
      <c r="AG90" s="148">
        <f>SUM(AH90,AJ90)</f>
        <v>-0.153</v>
      </c>
      <c r="AH90" s="149">
        <f>SUM(AH92:AH96)</f>
        <v>0</v>
      </c>
      <c r="AI90" s="150">
        <f>SUM(AI92:AI94)</f>
        <v>0</v>
      </c>
      <c r="AJ90" s="151">
        <f>SUM(AJ92:AJ96)</f>
        <v>-0.153</v>
      </c>
      <c r="AK90" s="148">
        <f>SUM(AL90,AN90)</f>
        <v>454.74999999999994</v>
      </c>
      <c r="AL90" s="149">
        <f>SUM(AL92:AL96)</f>
        <v>433.26299999999992</v>
      </c>
      <c r="AM90" s="150">
        <f>SUM(AM92:AM94)</f>
        <v>280.10000000000002</v>
      </c>
      <c r="AN90" s="151">
        <f>SUM(AN92:AN96)</f>
        <v>21.487000000000002</v>
      </c>
      <c r="AO90" s="148">
        <f>SUM(AP90,AR90)</f>
        <v>16.829999999999998</v>
      </c>
      <c r="AP90" s="149">
        <f>SUM(AP92:AP96)</f>
        <v>11.273</v>
      </c>
      <c r="AQ90" s="150">
        <f>SUM(AQ92:AQ94)</f>
        <v>0</v>
      </c>
      <c r="AR90" s="151">
        <f>SUM(AR92:AR96)</f>
        <v>5.5570000000000004</v>
      </c>
      <c r="AS90" s="148">
        <f>SUM(AT90,AV90)</f>
        <v>-0.81400000000000006</v>
      </c>
      <c r="AT90" s="149">
        <f>SUM(AT92:AT96)</f>
        <v>-0.81400000000000006</v>
      </c>
      <c r="AU90" s="150">
        <f>SUM(AU92:AU94)</f>
        <v>-2.1670000000000003</v>
      </c>
      <c r="AV90" s="151">
        <f>SUM(AV92:AV96)</f>
        <v>0</v>
      </c>
      <c r="AW90" s="148">
        <f>SUM(AX90,AZ90)</f>
        <v>0</v>
      </c>
      <c r="AX90" s="149">
        <f>SUM(AX92:AX96)</f>
        <v>0</v>
      </c>
      <c r="AY90" s="150">
        <f>SUM(AY92:AY94)</f>
        <v>0</v>
      </c>
      <c r="AZ90" s="151">
        <f>SUM(AZ92:AZ96)</f>
        <v>0</v>
      </c>
      <c r="BA90" s="148">
        <f>SUM(BB90,BD90)</f>
        <v>453.93599999999998</v>
      </c>
      <c r="BB90" s="149">
        <f>SUM(BB92:BB96)</f>
        <v>432.44899999999996</v>
      </c>
      <c r="BC90" s="150">
        <f>SUM(BC92:BC94)</f>
        <v>277.93300000000005</v>
      </c>
      <c r="BD90" s="151">
        <f>SUM(BD92:BD96)</f>
        <v>21.487000000000002</v>
      </c>
      <c r="BE90" s="148">
        <f>SUM(BF90,BH90)</f>
        <v>16.829999999999998</v>
      </c>
      <c r="BF90" s="149">
        <f>SUM(BF92:BF96)</f>
        <v>11.273</v>
      </c>
      <c r="BG90" s="150">
        <f>SUM(BG92:BG94)</f>
        <v>0</v>
      </c>
      <c r="BH90" s="151">
        <f>SUM(BH92:BH96)</f>
        <v>5.5570000000000004</v>
      </c>
      <c r="BI90" s="148">
        <f>SUM(BJ90,BL90)</f>
        <v>0</v>
      </c>
      <c r="BJ90" s="149">
        <f>SUM(BJ92:BJ96)</f>
        <v>0</v>
      </c>
      <c r="BK90" s="150">
        <f>SUM(BK92:BK94)</f>
        <v>0</v>
      </c>
      <c r="BL90" s="151">
        <f>SUM(BL92:BL96)</f>
        <v>0</v>
      </c>
      <c r="BM90" s="148">
        <f>SUM(BN90,BP90)</f>
        <v>0</v>
      </c>
      <c r="BN90" s="149">
        <f>SUM(BN92:BN96)</f>
        <v>0</v>
      </c>
      <c r="BO90" s="150">
        <f>SUM(BO92:BO94)</f>
        <v>0</v>
      </c>
      <c r="BP90" s="151">
        <f>SUM(BP92:BP96)</f>
        <v>0</v>
      </c>
      <c r="BQ90" s="148">
        <f>SUM(BR90,BT90)</f>
        <v>453.93599999999998</v>
      </c>
      <c r="BR90" s="149">
        <f>SUM(BR92:BR96)</f>
        <v>432.44899999999996</v>
      </c>
      <c r="BS90" s="150">
        <f>SUM(BS92:BS94)</f>
        <v>277.93300000000005</v>
      </c>
      <c r="BT90" s="151">
        <f>SUM(BT92:BT96)</f>
        <v>21.487000000000002</v>
      </c>
      <c r="BU90" s="148">
        <f>SUM(BV90,BX90)</f>
        <v>16.829999999999998</v>
      </c>
      <c r="BV90" s="149">
        <f>SUM(BV92:BV96)</f>
        <v>11.273</v>
      </c>
      <c r="BW90" s="150">
        <f>SUM(BW92:BW94)</f>
        <v>0</v>
      </c>
      <c r="BX90" s="151">
        <f>SUM(BX92:BX96)</f>
        <v>5.5570000000000004</v>
      </c>
      <c r="BY90" s="175">
        <f>SUM(BZ90,CB90)</f>
        <v>0</v>
      </c>
      <c r="BZ90" s="176">
        <f>SUM(BZ92:BZ96)</f>
        <v>0</v>
      </c>
      <c r="CA90" s="177">
        <f>SUM(CA92:CA94)</f>
        <v>0</v>
      </c>
      <c r="CB90" s="178">
        <f>SUM(CB92:CB96)</f>
        <v>0</v>
      </c>
      <c r="CC90" s="175">
        <f>SUM(CD90,CF90)</f>
        <v>0</v>
      </c>
      <c r="CD90" s="176">
        <f>SUM(CD92:CD96)</f>
        <v>0</v>
      </c>
      <c r="CE90" s="177">
        <f>SUM(CE92:CE94)</f>
        <v>0</v>
      </c>
      <c r="CF90" s="178">
        <f>SUM(CF92:CF96)</f>
        <v>0</v>
      </c>
      <c r="CG90" s="148">
        <f>SUM(CH90,CJ90)</f>
        <v>453.93599999999998</v>
      </c>
      <c r="CH90" s="149">
        <f>SUM(CH92:CH96)</f>
        <v>432.44899999999996</v>
      </c>
      <c r="CI90" s="150">
        <f>SUM(CI92:CI94)</f>
        <v>277.93300000000005</v>
      </c>
      <c r="CJ90" s="151">
        <f>SUM(CJ92:CJ96)</f>
        <v>21.487000000000002</v>
      </c>
      <c r="CK90" s="148">
        <f>SUM(CL90,CN90)</f>
        <v>16.829999999999998</v>
      </c>
      <c r="CL90" s="149">
        <f>SUM(CL92:CL96)</f>
        <v>11.273</v>
      </c>
      <c r="CM90" s="150">
        <f>SUM(CM92:CM94)</f>
        <v>0</v>
      </c>
      <c r="CN90" s="151">
        <f>SUM(CN92:CN96)</f>
        <v>5.5570000000000004</v>
      </c>
      <c r="CO90" s="175">
        <f>SUM(CP90,CR90)</f>
        <v>0</v>
      </c>
      <c r="CP90" s="176">
        <f>SUM(CP92:CP96)</f>
        <v>0</v>
      </c>
      <c r="CQ90" s="177">
        <f>SUM(CQ92:CQ94)</f>
        <v>0</v>
      </c>
      <c r="CR90" s="178">
        <f>SUM(CR92:CR96)</f>
        <v>0</v>
      </c>
      <c r="CS90" s="175">
        <f>SUM(CT90,CV90)</f>
        <v>0</v>
      </c>
      <c r="CT90" s="176">
        <f>SUM(CT92:CT96)</f>
        <v>0</v>
      </c>
      <c r="CU90" s="177">
        <f>SUM(CU92:CU94)</f>
        <v>0</v>
      </c>
      <c r="CV90" s="178">
        <f>SUM(CV92:CV96)</f>
        <v>0</v>
      </c>
      <c r="CW90" s="148">
        <f>SUM(CX90,CZ90)</f>
        <v>453.93599999999998</v>
      </c>
      <c r="CX90" s="149">
        <f>SUM(CX92:CX96)</f>
        <v>432.44899999999996</v>
      </c>
      <c r="CY90" s="150">
        <f>SUM(CY92:CY94)</f>
        <v>277.93300000000005</v>
      </c>
      <c r="CZ90" s="151">
        <f>SUM(CZ92:CZ96)</f>
        <v>21.487000000000002</v>
      </c>
      <c r="DA90" s="148">
        <f>SUM(DB90,DD90)</f>
        <v>16.829999999999998</v>
      </c>
      <c r="DB90" s="149">
        <f>SUM(DB92:DB96)</f>
        <v>11.273</v>
      </c>
      <c r="DC90" s="150">
        <f>SUM(DC92:DC94)</f>
        <v>0</v>
      </c>
      <c r="DD90" s="151">
        <f>SUM(DD92:DD96)</f>
        <v>5.5570000000000004</v>
      </c>
      <c r="DE90" s="175">
        <f>SUM(DF90,DH90)</f>
        <v>4.5299999999999994</v>
      </c>
      <c r="DF90" s="176">
        <f>SUM(DF92:DF96)</f>
        <v>3.879999999999999</v>
      </c>
      <c r="DG90" s="177">
        <f>SUM(DG92:DG94)</f>
        <v>-3.4180000000000001</v>
      </c>
      <c r="DH90" s="178">
        <f>SUM(DH92:DH96)</f>
        <v>0.65</v>
      </c>
      <c r="DI90" s="175">
        <f>SUM(DJ90,DL90)</f>
        <v>0</v>
      </c>
      <c r="DJ90" s="176">
        <f>SUM(DJ92:DJ96)</f>
        <v>0</v>
      </c>
      <c r="DK90" s="177">
        <f>SUM(DK92:DK94)</f>
        <v>0</v>
      </c>
      <c r="DL90" s="178">
        <f>SUM(DL92:DL96)</f>
        <v>0</v>
      </c>
      <c r="DM90" s="148">
        <f>SUM(DN90,DP90)</f>
        <v>458.46600000000001</v>
      </c>
      <c r="DN90" s="149">
        <f>SUM(DN92:DN96)</f>
        <v>436.32900000000001</v>
      </c>
      <c r="DO90" s="150">
        <f>SUM(DO92:DO94)</f>
        <v>274.51500000000004</v>
      </c>
      <c r="DP90" s="151">
        <f>SUM(DP92:DP96)</f>
        <v>22.137</v>
      </c>
      <c r="DQ90" s="148">
        <f>SUM(DR90,DT90)</f>
        <v>16.829999999999998</v>
      </c>
      <c r="DR90" s="149">
        <f>SUM(DR92:DR96)</f>
        <v>11.273</v>
      </c>
      <c r="DS90" s="150">
        <f>SUM(DS92:DS94)</f>
        <v>0</v>
      </c>
      <c r="DT90" s="151">
        <f>SUM(DT92:DT96)</f>
        <v>5.5570000000000004</v>
      </c>
      <c r="DU90" s="175">
        <f>SUM(DV90,DX90)</f>
        <v>0.12000000000000033</v>
      </c>
      <c r="DV90" s="176">
        <f>SUM(DV92:DV96)</f>
        <v>-1.9999999999999998</v>
      </c>
      <c r="DW90" s="177">
        <f>SUM(DW92:DW94)</f>
        <v>0</v>
      </c>
      <c r="DX90" s="178">
        <f>SUM(DX92:DX96)</f>
        <v>2.12</v>
      </c>
      <c r="DY90" s="175">
        <f>SUM(DZ90,EB90)</f>
        <v>0</v>
      </c>
      <c r="DZ90" s="176">
        <f>SUM(DZ92:DZ96)</f>
        <v>0</v>
      </c>
      <c r="EA90" s="177">
        <f>SUM(EA92:EA94)</f>
        <v>0</v>
      </c>
      <c r="EB90" s="178">
        <f>SUM(EB92:EB96)</f>
        <v>0</v>
      </c>
      <c r="EC90" s="148">
        <f>SUM(ED90,EF90)</f>
        <v>458.58600000000001</v>
      </c>
      <c r="ED90" s="149">
        <f>SUM(ED92:ED96)</f>
        <v>434.32900000000001</v>
      </c>
      <c r="EE90" s="150">
        <f>SUM(EE92:EE94)</f>
        <v>274.51500000000004</v>
      </c>
      <c r="EF90" s="151">
        <f>SUM(EF92:EF96)</f>
        <v>24.256999999999998</v>
      </c>
      <c r="EG90" s="148">
        <f>SUM(EH90,EJ90)</f>
        <v>16.829999999999998</v>
      </c>
      <c r="EH90" s="149">
        <f>SUM(EH92:EH96)</f>
        <v>11.273</v>
      </c>
      <c r="EI90" s="150">
        <f>SUM(EI92:EI94)</f>
        <v>0</v>
      </c>
      <c r="EJ90" s="151">
        <f>SUM(EJ92:EJ96)</f>
        <v>5.5570000000000004</v>
      </c>
      <c r="EK90" s="152">
        <f t="shared" si="648"/>
        <v>-20.459999999999923</v>
      </c>
      <c r="EL90" s="152">
        <f t="shared" si="649"/>
        <v>-25.583000000000027</v>
      </c>
      <c r="EM90" s="148">
        <f>SUM(EN90,EP90)</f>
        <v>433.00299999999999</v>
      </c>
      <c r="EN90" s="149">
        <f>SUM(EN92:EN96)</f>
        <v>422.52799999999996</v>
      </c>
      <c r="EO90" s="150">
        <f>SUM(EO92:EO94)</f>
        <v>295.68</v>
      </c>
      <c r="EP90" s="151">
        <f>SUM(EP92:EP96)</f>
        <v>10.475</v>
      </c>
      <c r="EQ90" s="148">
        <f>SUM(ER90,ET90)</f>
        <v>1.923</v>
      </c>
      <c r="ER90" s="149">
        <f>SUM(ER92:ER96)</f>
        <v>1.448</v>
      </c>
      <c r="ES90" s="150">
        <f>SUM(ES92:ES94)</f>
        <v>0</v>
      </c>
      <c r="ET90" s="151">
        <f>SUM(ET92:ET96)</f>
        <v>0.47499999999999998</v>
      </c>
    </row>
    <row r="91" spans="1:150" ht="15" customHeight="1" x14ac:dyDescent="0.3">
      <c r="A91" s="50"/>
      <c r="B91" s="6" t="s">
        <v>2</v>
      </c>
      <c r="C91" s="51"/>
      <c r="D91" s="94"/>
      <c r="E91" s="105"/>
      <c r="F91" s="106"/>
      <c r="G91" s="107"/>
      <c r="H91" s="108"/>
      <c r="I91" s="105"/>
      <c r="J91" s="106"/>
      <c r="K91" s="107"/>
      <c r="L91" s="108"/>
      <c r="M91" s="105"/>
      <c r="N91" s="106"/>
      <c r="O91" s="107"/>
      <c r="P91" s="108"/>
      <c r="Q91" s="105"/>
      <c r="R91" s="106"/>
      <c r="S91" s="107"/>
      <c r="T91" s="108"/>
      <c r="U91" s="105"/>
      <c r="V91" s="106"/>
      <c r="W91" s="107"/>
      <c r="X91" s="108"/>
      <c r="Y91" s="105"/>
      <c r="Z91" s="106"/>
      <c r="AA91" s="107"/>
      <c r="AB91" s="108"/>
      <c r="AC91" s="105"/>
      <c r="AD91" s="106"/>
      <c r="AE91" s="107"/>
      <c r="AF91" s="108"/>
      <c r="AG91" s="105"/>
      <c r="AH91" s="106"/>
      <c r="AI91" s="107"/>
      <c r="AJ91" s="108"/>
      <c r="AK91" s="105"/>
      <c r="AL91" s="106"/>
      <c r="AM91" s="107"/>
      <c r="AN91" s="108"/>
      <c r="AO91" s="105"/>
      <c r="AP91" s="106"/>
      <c r="AQ91" s="107"/>
      <c r="AR91" s="108"/>
      <c r="AS91" s="105"/>
      <c r="AT91" s="106"/>
      <c r="AU91" s="107"/>
      <c r="AV91" s="108"/>
      <c r="AW91" s="105"/>
      <c r="AX91" s="106"/>
      <c r="AY91" s="107"/>
      <c r="AZ91" s="108"/>
      <c r="BA91" s="105"/>
      <c r="BB91" s="106"/>
      <c r="BC91" s="107"/>
      <c r="BD91" s="108"/>
      <c r="BE91" s="105"/>
      <c r="BF91" s="106"/>
      <c r="BG91" s="107"/>
      <c r="BH91" s="108"/>
      <c r="BI91" s="105"/>
      <c r="BJ91" s="106"/>
      <c r="BK91" s="107"/>
      <c r="BL91" s="108"/>
      <c r="BM91" s="105"/>
      <c r="BN91" s="106"/>
      <c r="BO91" s="107"/>
      <c r="BP91" s="108"/>
      <c r="BQ91" s="105"/>
      <c r="BR91" s="106"/>
      <c r="BS91" s="107"/>
      <c r="BT91" s="108"/>
      <c r="BU91" s="105"/>
      <c r="BV91" s="106"/>
      <c r="BW91" s="107"/>
      <c r="BX91" s="108"/>
      <c r="BY91" s="164"/>
      <c r="BZ91" s="147"/>
      <c r="CA91" s="161"/>
      <c r="CB91" s="162"/>
      <c r="CC91" s="164"/>
      <c r="CD91" s="147"/>
      <c r="CE91" s="161"/>
      <c r="CF91" s="162"/>
      <c r="CG91" s="105"/>
      <c r="CH91" s="106"/>
      <c r="CI91" s="107"/>
      <c r="CJ91" s="108"/>
      <c r="CK91" s="105"/>
      <c r="CL91" s="106"/>
      <c r="CM91" s="107"/>
      <c r="CN91" s="108"/>
      <c r="CO91" s="164"/>
      <c r="CP91" s="147"/>
      <c r="CQ91" s="161"/>
      <c r="CR91" s="162"/>
      <c r="CS91" s="164"/>
      <c r="CT91" s="147"/>
      <c r="CU91" s="161"/>
      <c r="CV91" s="162"/>
      <c r="CW91" s="105"/>
      <c r="CX91" s="106"/>
      <c r="CY91" s="107"/>
      <c r="CZ91" s="108"/>
      <c r="DA91" s="105"/>
      <c r="DB91" s="106"/>
      <c r="DC91" s="107"/>
      <c r="DD91" s="108"/>
      <c r="DE91" s="164"/>
      <c r="DF91" s="147"/>
      <c r="DG91" s="161"/>
      <c r="DH91" s="162"/>
      <c r="DI91" s="164"/>
      <c r="DJ91" s="147"/>
      <c r="DK91" s="161"/>
      <c r="DL91" s="162"/>
      <c r="DM91" s="105"/>
      <c r="DN91" s="106"/>
      <c r="DO91" s="107"/>
      <c r="DP91" s="108"/>
      <c r="DQ91" s="105"/>
      <c r="DR91" s="106"/>
      <c r="DS91" s="107"/>
      <c r="DT91" s="108"/>
      <c r="DU91" s="164"/>
      <c r="DV91" s="147"/>
      <c r="DW91" s="161"/>
      <c r="DX91" s="162"/>
      <c r="DY91" s="164"/>
      <c r="DZ91" s="147"/>
      <c r="EA91" s="161"/>
      <c r="EB91" s="162"/>
      <c r="EC91" s="105"/>
      <c r="ED91" s="106"/>
      <c r="EE91" s="107"/>
      <c r="EF91" s="108"/>
      <c r="EG91" s="105"/>
      <c r="EH91" s="106"/>
      <c r="EI91" s="107"/>
      <c r="EJ91" s="108"/>
      <c r="EK91" s="153">
        <f t="shared" si="648"/>
        <v>0</v>
      </c>
      <c r="EL91" s="153">
        <f t="shared" si="649"/>
        <v>0</v>
      </c>
      <c r="EM91" s="105"/>
      <c r="EN91" s="106"/>
      <c r="EO91" s="107"/>
      <c r="EP91" s="108"/>
      <c r="EQ91" s="105"/>
      <c r="ER91" s="106"/>
      <c r="ES91" s="107"/>
      <c r="ET91" s="108"/>
    </row>
    <row r="92" spans="1:150" s="4" customFormat="1" ht="21.65" customHeight="1" x14ac:dyDescent="0.25">
      <c r="A92" s="704" t="s">
        <v>26</v>
      </c>
      <c r="B92" s="702" t="s">
        <v>42</v>
      </c>
      <c r="C92" s="48" t="s">
        <v>69</v>
      </c>
      <c r="D92" s="93" t="s">
        <v>37</v>
      </c>
      <c r="E92" s="105">
        <f>SUM(F92,H92)</f>
        <v>342.31999999999994</v>
      </c>
      <c r="F92" s="106">
        <f>338.14+3.78+0.4</f>
        <v>342.31999999999994</v>
      </c>
      <c r="G92" s="107">
        <f>277.67+3.73+0.4-1.7</f>
        <v>280.10000000000002</v>
      </c>
      <c r="H92" s="108"/>
      <c r="I92" s="105">
        <f>SUM(J92,L92)</f>
        <v>0</v>
      </c>
      <c r="J92" s="106"/>
      <c r="K92" s="107"/>
      <c r="L92" s="108"/>
      <c r="M92" s="105">
        <f>SUM(N92,P92)</f>
        <v>0</v>
      </c>
      <c r="N92" s="106"/>
      <c r="O92" s="107"/>
      <c r="P92" s="108"/>
      <c r="Q92" s="105">
        <f>SUM(R92,T92)</f>
        <v>0</v>
      </c>
      <c r="R92" s="106"/>
      <c r="S92" s="107"/>
      <c r="T92" s="108"/>
      <c r="U92" s="105">
        <f t="shared" ref="U92" si="822">SUM(V92,X92)</f>
        <v>342.31999999999994</v>
      </c>
      <c r="V92" s="106">
        <f t="shared" ref="V92" si="823">F92+N92</f>
        <v>342.31999999999994</v>
      </c>
      <c r="W92" s="107">
        <f t="shared" ref="W92" si="824">G92+O92</f>
        <v>280.10000000000002</v>
      </c>
      <c r="X92" s="108">
        <f t="shared" ref="X92" si="825">H92+P92</f>
        <v>0</v>
      </c>
      <c r="Y92" s="105">
        <f t="shared" ref="Y92" si="826">SUM(Z92,AB92)</f>
        <v>0</v>
      </c>
      <c r="Z92" s="106">
        <f t="shared" ref="Z92" si="827">J92+R92</f>
        <v>0</v>
      </c>
      <c r="AA92" s="107">
        <f t="shared" ref="AA92" si="828">K92+S92</f>
        <v>0</v>
      </c>
      <c r="AB92" s="108">
        <f t="shared" ref="AB92" si="829">L92+T92</f>
        <v>0</v>
      </c>
      <c r="AC92" s="105">
        <f>SUM(AD92,AF92)</f>
        <v>0.44</v>
      </c>
      <c r="AD92" s="106">
        <v>0.44</v>
      </c>
      <c r="AE92" s="107"/>
      <c r="AF92" s="108"/>
      <c r="AG92" s="105">
        <f>SUM(AH92,AJ92)</f>
        <v>0</v>
      </c>
      <c r="AH92" s="106"/>
      <c r="AI92" s="107"/>
      <c r="AJ92" s="108"/>
      <c r="AK92" s="105">
        <f t="shared" ref="AK92:AK96" si="830">SUM(AL92,AN92)</f>
        <v>342.75999999999993</v>
      </c>
      <c r="AL92" s="106">
        <f t="shared" ref="AL92:AL96" si="831">V92+AD92</f>
        <v>342.75999999999993</v>
      </c>
      <c r="AM92" s="107">
        <f t="shared" ref="AM92:AM96" si="832">W92+AE92</f>
        <v>280.10000000000002</v>
      </c>
      <c r="AN92" s="108">
        <f t="shared" ref="AN92:AN96" si="833">X92+AF92</f>
        <v>0</v>
      </c>
      <c r="AO92" s="105">
        <f t="shared" ref="AO92:AO96" si="834">SUM(AP92,AR92)</f>
        <v>0</v>
      </c>
      <c r="AP92" s="106">
        <f t="shared" ref="AP92:AP96" si="835">Z92+AH92</f>
        <v>0</v>
      </c>
      <c r="AQ92" s="107">
        <f t="shared" ref="AQ92:AQ96" si="836">AA92+AI92</f>
        <v>0</v>
      </c>
      <c r="AR92" s="108">
        <f t="shared" ref="AR92:AR96" si="837">AB92+AJ92</f>
        <v>0</v>
      </c>
      <c r="AS92" s="105">
        <f>SUM(AT92,AV92)</f>
        <v>-2.036</v>
      </c>
      <c r="AT92" s="106">
        <v>-2.036</v>
      </c>
      <c r="AU92" s="107">
        <f>-2.007-0.16</f>
        <v>-2.1670000000000003</v>
      </c>
      <c r="AV92" s="108"/>
      <c r="AW92" s="105">
        <f>SUM(AX92,AZ92)</f>
        <v>0</v>
      </c>
      <c r="AX92" s="106"/>
      <c r="AY92" s="107"/>
      <c r="AZ92" s="108"/>
      <c r="BA92" s="105">
        <f t="shared" ref="BA92:BA96" si="838">SUM(BB92,BD92)</f>
        <v>340.72399999999993</v>
      </c>
      <c r="BB92" s="106">
        <f t="shared" ref="BB92:BB96" si="839">AL92+AT92</f>
        <v>340.72399999999993</v>
      </c>
      <c r="BC92" s="107">
        <f t="shared" ref="BC92:BC96" si="840">AM92+AU92</f>
        <v>277.93300000000005</v>
      </c>
      <c r="BD92" s="108">
        <f t="shared" ref="BD92:BD94" si="841">AN92+AV92</f>
        <v>0</v>
      </c>
      <c r="BE92" s="105">
        <f t="shared" ref="BE92:BE96" si="842">SUM(BF92,BH92)</f>
        <v>0</v>
      </c>
      <c r="BF92" s="106">
        <f t="shared" ref="BF92:BF96" si="843">AP92+AX92</f>
        <v>0</v>
      </c>
      <c r="BG92" s="107">
        <f t="shared" ref="BG92:BG96" si="844">AQ92+AY92</f>
        <v>0</v>
      </c>
      <c r="BH92" s="108">
        <f t="shared" ref="BH92:BH96" si="845">AR92+AZ92</f>
        <v>0</v>
      </c>
      <c r="BI92" s="105">
        <f>SUM(BJ92,BL92)</f>
        <v>0</v>
      </c>
      <c r="BJ92" s="106"/>
      <c r="BK92" s="107"/>
      <c r="BL92" s="108"/>
      <c r="BM92" s="105">
        <f>SUM(BN92,BP92)</f>
        <v>0</v>
      </c>
      <c r="BN92" s="106"/>
      <c r="BO92" s="107"/>
      <c r="BP92" s="108"/>
      <c r="BQ92" s="105">
        <f t="shared" ref="BQ92:BQ96" si="846">SUM(BR92,BT92)</f>
        <v>340.72399999999993</v>
      </c>
      <c r="BR92" s="106">
        <f t="shared" ref="BR92:BR94" si="847">BB92+BJ92</f>
        <v>340.72399999999993</v>
      </c>
      <c r="BS92" s="107">
        <f t="shared" ref="BS92:BS96" si="848">BC92+BK92</f>
        <v>277.93300000000005</v>
      </c>
      <c r="BT92" s="108">
        <f t="shared" ref="BT92:BT94" si="849">BD92+BL92</f>
        <v>0</v>
      </c>
      <c r="BU92" s="105">
        <f t="shared" ref="BU92:BU96" si="850">SUM(BV92,BX92)</f>
        <v>0</v>
      </c>
      <c r="BV92" s="106">
        <f t="shared" ref="BV92:BV96" si="851">BF92+BN92</f>
        <v>0</v>
      </c>
      <c r="BW92" s="107">
        <f t="shared" ref="BW92:BW96" si="852">BG92+BO92</f>
        <v>0</v>
      </c>
      <c r="BX92" s="108">
        <f t="shared" ref="BX92:BX96" si="853">BH92+BP92</f>
        <v>0</v>
      </c>
      <c r="BY92" s="164">
        <f>SUM(BZ92,CB92)</f>
        <v>0</v>
      </c>
      <c r="BZ92" s="147"/>
      <c r="CA92" s="161"/>
      <c r="CB92" s="162"/>
      <c r="CC92" s="164">
        <f>SUM(CD92,CF92)</f>
        <v>0</v>
      </c>
      <c r="CD92" s="147"/>
      <c r="CE92" s="161"/>
      <c r="CF92" s="162"/>
      <c r="CG92" s="105">
        <f t="shared" ref="CG92:CG96" si="854">SUM(CH92,CJ92)</f>
        <v>340.72399999999993</v>
      </c>
      <c r="CH92" s="106">
        <f t="shared" ref="CH92:CH94" si="855">BR92+BZ92</f>
        <v>340.72399999999993</v>
      </c>
      <c r="CI92" s="107">
        <f t="shared" ref="CI92:CI96" si="856">BS92+CA92</f>
        <v>277.93300000000005</v>
      </c>
      <c r="CJ92" s="108">
        <f t="shared" ref="CJ92:CJ94" si="857">BT92+CB92</f>
        <v>0</v>
      </c>
      <c r="CK92" s="105">
        <f t="shared" ref="CK92:CK96" si="858">SUM(CL92,CN92)</f>
        <v>0</v>
      </c>
      <c r="CL92" s="106">
        <f t="shared" ref="CL92:CL96" si="859">BV92+CD92</f>
        <v>0</v>
      </c>
      <c r="CM92" s="107">
        <f t="shared" ref="CM92:CM96" si="860">BW92+CE92</f>
        <v>0</v>
      </c>
      <c r="CN92" s="108">
        <f t="shared" ref="CN92:CN96" si="861">BX92+CF92</f>
        <v>0</v>
      </c>
      <c r="CO92" s="164">
        <f>SUM(CP92,CR92)</f>
        <v>0</v>
      </c>
      <c r="CP92" s="147"/>
      <c r="CQ92" s="161"/>
      <c r="CR92" s="162"/>
      <c r="CS92" s="164">
        <f>SUM(CT92,CV92)</f>
        <v>0</v>
      </c>
      <c r="CT92" s="147"/>
      <c r="CU92" s="161"/>
      <c r="CV92" s="162"/>
      <c r="CW92" s="105">
        <f t="shared" ref="CW92:CW96" si="862">SUM(CX92,CZ92)</f>
        <v>340.72399999999993</v>
      </c>
      <c r="CX92" s="106">
        <f t="shared" ref="CX92:CX94" si="863">CH92+CP92</f>
        <v>340.72399999999993</v>
      </c>
      <c r="CY92" s="107">
        <f t="shared" ref="CY92:CY96" si="864">CI92+CQ92</f>
        <v>277.93300000000005</v>
      </c>
      <c r="CZ92" s="108">
        <f t="shared" ref="CZ92:CZ94" si="865">CJ92+CR92</f>
        <v>0</v>
      </c>
      <c r="DA92" s="105">
        <f t="shared" ref="DA92:DA96" si="866">SUM(DB92,DD92)</f>
        <v>0</v>
      </c>
      <c r="DB92" s="106">
        <f t="shared" ref="DB92:DB96" si="867">CL92+CT92</f>
        <v>0</v>
      </c>
      <c r="DC92" s="107">
        <f t="shared" ref="DC92:DC96" si="868">CM92+CU92</f>
        <v>0</v>
      </c>
      <c r="DD92" s="108">
        <f t="shared" ref="DD92:DD96" si="869">CN92+CV92</f>
        <v>0</v>
      </c>
      <c r="DE92" s="164">
        <f>SUM(DF92,DH92)</f>
        <v>-4.82</v>
      </c>
      <c r="DF92" s="147">
        <f>-1.35-0.6-2.87</f>
        <v>-4.82</v>
      </c>
      <c r="DG92" s="161">
        <f>-0.591-2.827</f>
        <v>-3.4180000000000001</v>
      </c>
      <c r="DH92" s="162"/>
      <c r="DI92" s="164">
        <f>SUM(DJ92,DL92)</f>
        <v>0</v>
      </c>
      <c r="DJ92" s="147"/>
      <c r="DK92" s="161"/>
      <c r="DL92" s="162"/>
      <c r="DM92" s="105">
        <f t="shared" ref="DM92:DM96" si="870">SUM(DN92,DP92)</f>
        <v>335.90399999999994</v>
      </c>
      <c r="DN92" s="106">
        <f t="shared" ref="DN92:DN94" si="871">CX92+DF92</f>
        <v>335.90399999999994</v>
      </c>
      <c r="DO92" s="107">
        <f t="shared" ref="DO92:DO96" si="872">CY92+DG92</f>
        <v>274.51500000000004</v>
      </c>
      <c r="DP92" s="108">
        <f t="shared" ref="DP92:DP94" si="873">CZ92+DH92</f>
        <v>0</v>
      </c>
      <c r="DQ92" s="105">
        <f t="shared" ref="DQ92:DQ96" si="874">SUM(DR92,DT92)</f>
        <v>0</v>
      </c>
      <c r="DR92" s="106">
        <f t="shared" ref="DR92:DR96" si="875">DB92+DJ92</f>
        <v>0</v>
      </c>
      <c r="DS92" s="107">
        <f t="shared" ref="DS92:DS96" si="876">DC92+DK92</f>
        <v>0</v>
      </c>
      <c r="DT92" s="108">
        <f t="shared" ref="DT92:DT96" si="877">DD92+DL92</f>
        <v>0</v>
      </c>
      <c r="DU92" s="164">
        <f>SUM(DV92,DX92)</f>
        <v>-2.5299999999999998</v>
      </c>
      <c r="DV92" s="147">
        <v>-2.5299999999999998</v>
      </c>
      <c r="DW92" s="161"/>
      <c r="DX92" s="162"/>
      <c r="DY92" s="164">
        <f>SUM(DZ92,EB92)</f>
        <v>0</v>
      </c>
      <c r="DZ92" s="147"/>
      <c r="EA92" s="161"/>
      <c r="EB92" s="162"/>
      <c r="EC92" s="105">
        <f t="shared" ref="EC92:EC96" si="878">SUM(ED92,EF92)</f>
        <v>333.37399999999997</v>
      </c>
      <c r="ED92" s="106">
        <f t="shared" ref="ED92:ED94" si="879">DN92+DV92</f>
        <v>333.37399999999997</v>
      </c>
      <c r="EE92" s="107">
        <f t="shared" ref="EE92:EE96" si="880">DO92+DW92</f>
        <v>274.51500000000004</v>
      </c>
      <c r="EF92" s="108">
        <f t="shared" ref="EF92:EF94" si="881">DP92+DX92</f>
        <v>0</v>
      </c>
      <c r="EG92" s="105">
        <f t="shared" ref="EG92:EG96" si="882">SUM(EH92,EJ92)</f>
        <v>0</v>
      </c>
      <c r="EH92" s="106">
        <f t="shared" ref="EH92:EH96" si="883">DR92+DZ92</f>
        <v>0</v>
      </c>
      <c r="EI92" s="107">
        <f t="shared" ref="EI92:EI96" si="884">DS92+EA92</f>
        <v>0</v>
      </c>
      <c r="EJ92" s="108">
        <f t="shared" ref="EJ92:EJ96" si="885">DT92+EB92</f>
        <v>0</v>
      </c>
      <c r="EK92" s="163">
        <f t="shared" si="648"/>
        <v>16.130000000000052</v>
      </c>
      <c r="EL92" s="163">
        <f t="shared" si="649"/>
        <v>25.076000000000022</v>
      </c>
      <c r="EM92" s="105">
        <f>SUM(EN92,EP92)</f>
        <v>358.45</v>
      </c>
      <c r="EN92" s="106">
        <f>357.95+0.5</f>
        <v>358.45</v>
      </c>
      <c r="EO92" s="107">
        <f>297.6-1.92</f>
        <v>295.68</v>
      </c>
      <c r="EP92" s="108"/>
      <c r="EQ92" s="105">
        <f>SUM(ER92,ET92)</f>
        <v>0</v>
      </c>
      <c r="ER92" s="106"/>
      <c r="ES92" s="107"/>
      <c r="ET92" s="108"/>
    </row>
    <row r="93" spans="1:150" s="4" customFormat="1" ht="21.65" customHeight="1" x14ac:dyDescent="0.25">
      <c r="A93" s="716"/>
      <c r="B93" s="719"/>
      <c r="C93" s="48" t="s">
        <v>70</v>
      </c>
      <c r="D93" s="139" t="s">
        <v>52</v>
      </c>
      <c r="E93" s="105">
        <f>SUM(F93,H93)</f>
        <v>64.515000000000001</v>
      </c>
      <c r="F93" s="106">
        <f>59.87+0.5+J93</f>
        <v>61.085000000000001</v>
      </c>
      <c r="G93" s="107"/>
      <c r="H93" s="108">
        <v>3.43</v>
      </c>
      <c r="I93" s="105">
        <f>SUM(J93,L93)</f>
        <v>0.71499999999999997</v>
      </c>
      <c r="J93" s="106">
        <v>0.71499999999999997</v>
      </c>
      <c r="K93" s="107"/>
      <c r="L93" s="108"/>
      <c r="M93" s="105">
        <f>SUM(N93,P93)</f>
        <v>0</v>
      </c>
      <c r="N93" s="106"/>
      <c r="O93" s="107"/>
      <c r="P93" s="108"/>
      <c r="Q93" s="105">
        <f>SUM(R93,T93)</f>
        <v>0</v>
      </c>
      <c r="R93" s="106"/>
      <c r="S93" s="107"/>
      <c r="T93" s="108"/>
      <c r="U93" s="105">
        <f t="shared" ref="U93:U96" si="886">SUM(V93,X93)</f>
        <v>64.515000000000001</v>
      </c>
      <c r="V93" s="106">
        <f t="shared" ref="V93:V96" si="887">F93+N93</f>
        <v>61.085000000000001</v>
      </c>
      <c r="W93" s="107">
        <f t="shared" ref="W93:W96" si="888">G93+O93</f>
        <v>0</v>
      </c>
      <c r="X93" s="108">
        <f t="shared" ref="X93:X96" si="889">H93+P93</f>
        <v>3.43</v>
      </c>
      <c r="Y93" s="105">
        <f t="shared" ref="Y93:Y96" si="890">SUM(Z93,AB93)</f>
        <v>0.71499999999999997</v>
      </c>
      <c r="Z93" s="106">
        <f t="shared" ref="Z93:Z96" si="891">J93+R93</f>
        <v>0.71499999999999997</v>
      </c>
      <c r="AA93" s="107">
        <f t="shared" ref="AA93:AA96" si="892">K93+S93</f>
        <v>0</v>
      </c>
      <c r="AB93" s="108">
        <f t="shared" ref="AB93:AB96" si="893">L93+T93</f>
        <v>0</v>
      </c>
      <c r="AC93" s="105">
        <f>SUM(AD93,AF93)</f>
        <v>0</v>
      </c>
      <c r="AD93" s="106"/>
      <c r="AE93" s="107"/>
      <c r="AF93" s="108"/>
      <c r="AG93" s="105">
        <f>SUM(AH93,AJ93)</f>
        <v>0</v>
      </c>
      <c r="AH93" s="106"/>
      <c r="AI93" s="107"/>
      <c r="AJ93" s="108"/>
      <c r="AK93" s="105">
        <f t="shared" si="830"/>
        <v>64.515000000000001</v>
      </c>
      <c r="AL93" s="106">
        <f t="shared" si="831"/>
        <v>61.085000000000001</v>
      </c>
      <c r="AM93" s="107">
        <f t="shared" si="832"/>
        <v>0</v>
      </c>
      <c r="AN93" s="108">
        <f t="shared" si="833"/>
        <v>3.43</v>
      </c>
      <c r="AO93" s="105">
        <f t="shared" si="834"/>
        <v>0.71499999999999997</v>
      </c>
      <c r="AP93" s="106">
        <f t="shared" si="835"/>
        <v>0.71499999999999997</v>
      </c>
      <c r="AQ93" s="107">
        <f t="shared" si="836"/>
        <v>0</v>
      </c>
      <c r="AR93" s="108">
        <f t="shared" si="837"/>
        <v>0</v>
      </c>
      <c r="AS93" s="105">
        <f>SUM(AT93,AV93)</f>
        <v>0</v>
      </c>
      <c r="AT93" s="106"/>
      <c r="AU93" s="107"/>
      <c r="AV93" s="108"/>
      <c r="AW93" s="105">
        <f>SUM(AX93,AZ93)</f>
        <v>0</v>
      </c>
      <c r="AX93" s="106"/>
      <c r="AY93" s="107"/>
      <c r="AZ93" s="108"/>
      <c r="BA93" s="105">
        <f t="shared" si="838"/>
        <v>64.515000000000001</v>
      </c>
      <c r="BB93" s="106">
        <f t="shared" si="839"/>
        <v>61.085000000000001</v>
      </c>
      <c r="BC93" s="107">
        <f t="shared" si="840"/>
        <v>0</v>
      </c>
      <c r="BD93" s="108">
        <f t="shared" si="841"/>
        <v>3.43</v>
      </c>
      <c r="BE93" s="105">
        <f t="shared" si="842"/>
        <v>0.71499999999999997</v>
      </c>
      <c r="BF93" s="106">
        <f t="shared" si="843"/>
        <v>0.71499999999999997</v>
      </c>
      <c r="BG93" s="107">
        <f t="shared" si="844"/>
        <v>0</v>
      </c>
      <c r="BH93" s="108">
        <f t="shared" si="845"/>
        <v>0</v>
      </c>
      <c r="BI93" s="105">
        <f>SUM(BJ93,BL93)</f>
        <v>0</v>
      </c>
      <c r="BJ93" s="106"/>
      <c r="BK93" s="107"/>
      <c r="BL93" s="108"/>
      <c r="BM93" s="105">
        <f>SUM(BN93,BP93)</f>
        <v>0</v>
      </c>
      <c r="BN93" s="106"/>
      <c r="BO93" s="107"/>
      <c r="BP93" s="108"/>
      <c r="BQ93" s="105">
        <f t="shared" si="846"/>
        <v>64.515000000000001</v>
      </c>
      <c r="BR93" s="106">
        <f t="shared" si="847"/>
        <v>61.085000000000001</v>
      </c>
      <c r="BS93" s="107">
        <f t="shared" si="848"/>
        <v>0</v>
      </c>
      <c r="BT93" s="108">
        <f t="shared" si="849"/>
        <v>3.43</v>
      </c>
      <c r="BU93" s="105">
        <f t="shared" si="850"/>
        <v>0.71499999999999997</v>
      </c>
      <c r="BV93" s="106">
        <f t="shared" si="851"/>
        <v>0.71499999999999997</v>
      </c>
      <c r="BW93" s="107">
        <f t="shared" si="852"/>
        <v>0</v>
      </c>
      <c r="BX93" s="108">
        <f t="shared" si="853"/>
        <v>0</v>
      </c>
      <c r="BY93" s="164">
        <f>SUM(BZ93,CB93)</f>
        <v>0</v>
      </c>
      <c r="BZ93" s="147"/>
      <c r="CA93" s="161"/>
      <c r="CB93" s="162"/>
      <c r="CC93" s="164">
        <f>SUM(CD93,CF93)</f>
        <v>0</v>
      </c>
      <c r="CD93" s="147"/>
      <c r="CE93" s="161"/>
      <c r="CF93" s="162"/>
      <c r="CG93" s="105">
        <f t="shared" si="854"/>
        <v>64.515000000000001</v>
      </c>
      <c r="CH93" s="106">
        <f t="shared" si="855"/>
        <v>61.085000000000001</v>
      </c>
      <c r="CI93" s="107">
        <f t="shared" si="856"/>
        <v>0</v>
      </c>
      <c r="CJ93" s="108">
        <f t="shared" si="857"/>
        <v>3.43</v>
      </c>
      <c r="CK93" s="105">
        <f t="shared" si="858"/>
        <v>0.71499999999999997</v>
      </c>
      <c r="CL93" s="106">
        <f t="shared" si="859"/>
        <v>0.71499999999999997</v>
      </c>
      <c r="CM93" s="107">
        <f t="shared" si="860"/>
        <v>0</v>
      </c>
      <c r="CN93" s="108">
        <f t="shared" si="861"/>
        <v>0</v>
      </c>
      <c r="CO93" s="164">
        <f>SUM(CP93,CR93)</f>
        <v>0</v>
      </c>
      <c r="CP93" s="147"/>
      <c r="CQ93" s="161"/>
      <c r="CR93" s="162"/>
      <c r="CS93" s="164">
        <f>SUM(CT93,CV93)</f>
        <v>0</v>
      </c>
      <c r="CT93" s="147"/>
      <c r="CU93" s="161"/>
      <c r="CV93" s="162"/>
      <c r="CW93" s="105">
        <f t="shared" si="862"/>
        <v>64.515000000000001</v>
      </c>
      <c r="CX93" s="106">
        <f t="shared" si="863"/>
        <v>61.085000000000001</v>
      </c>
      <c r="CY93" s="107">
        <f t="shared" si="864"/>
        <v>0</v>
      </c>
      <c r="CZ93" s="108">
        <f t="shared" si="865"/>
        <v>3.43</v>
      </c>
      <c r="DA93" s="105">
        <f t="shared" si="866"/>
        <v>0.71499999999999997</v>
      </c>
      <c r="DB93" s="106">
        <f t="shared" si="867"/>
        <v>0.71499999999999997</v>
      </c>
      <c r="DC93" s="107">
        <f t="shared" si="868"/>
        <v>0</v>
      </c>
      <c r="DD93" s="108">
        <f t="shared" si="869"/>
        <v>0</v>
      </c>
      <c r="DE93" s="164">
        <f>SUM(DF93,DH93)</f>
        <v>9.35</v>
      </c>
      <c r="DF93" s="147">
        <v>8.6999999999999993</v>
      </c>
      <c r="DG93" s="161"/>
      <c r="DH93" s="162">
        <v>0.65</v>
      </c>
      <c r="DI93" s="164">
        <f>SUM(DJ93,DL93)</f>
        <v>0</v>
      </c>
      <c r="DJ93" s="147"/>
      <c r="DK93" s="161"/>
      <c r="DL93" s="162"/>
      <c r="DM93" s="105">
        <f t="shared" si="870"/>
        <v>73.864999999999995</v>
      </c>
      <c r="DN93" s="106">
        <f t="shared" si="871"/>
        <v>69.784999999999997</v>
      </c>
      <c r="DO93" s="107">
        <f t="shared" si="872"/>
        <v>0</v>
      </c>
      <c r="DP93" s="108">
        <f t="shared" si="873"/>
        <v>4.08</v>
      </c>
      <c r="DQ93" s="105">
        <f t="shared" si="874"/>
        <v>0.71499999999999997</v>
      </c>
      <c r="DR93" s="106">
        <f t="shared" si="875"/>
        <v>0.71499999999999997</v>
      </c>
      <c r="DS93" s="107">
        <f t="shared" si="876"/>
        <v>0</v>
      </c>
      <c r="DT93" s="108">
        <f t="shared" si="877"/>
        <v>0</v>
      </c>
      <c r="DU93" s="164">
        <f>SUM(DV93,DX93)</f>
        <v>0.12</v>
      </c>
      <c r="DV93" s="147">
        <v>0.12</v>
      </c>
      <c r="DW93" s="161"/>
      <c r="DX93" s="162"/>
      <c r="DY93" s="164">
        <f>SUM(DZ93,EB93)</f>
        <v>0</v>
      </c>
      <c r="DZ93" s="147"/>
      <c r="EA93" s="161"/>
      <c r="EB93" s="162"/>
      <c r="EC93" s="105">
        <f t="shared" si="878"/>
        <v>73.984999999999999</v>
      </c>
      <c r="ED93" s="106">
        <f t="shared" si="879"/>
        <v>69.905000000000001</v>
      </c>
      <c r="EE93" s="107">
        <f t="shared" si="880"/>
        <v>0</v>
      </c>
      <c r="EF93" s="108">
        <f t="shared" si="881"/>
        <v>4.08</v>
      </c>
      <c r="EG93" s="105">
        <f t="shared" si="882"/>
        <v>0.71499999999999997</v>
      </c>
      <c r="EH93" s="106">
        <f t="shared" si="883"/>
        <v>0.71499999999999997</v>
      </c>
      <c r="EI93" s="107">
        <f t="shared" si="884"/>
        <v>0</v>
      </c>
      <c r="EJ93" s="108">
        <f t="shared" si="885"/>
        <v>0</v>
      </c>
      <c r="EK93" s="163">
        <f t="shared" si="648"/>
        <v>0.13299999999999557</v>
      </c>
      <c r="EL93" s="154">
        <f t="shared" si="649"/>
        <v>-9.3370000000000033</v>
      </c>
      <c r="EM93" s="105">
        <f>SUM(EN93,EP93)</f>
        <v>64.647999999999996</v>
      </c>
      <c r="EN93" s="106">
        <f>ER93+61.3+0.5</f>
        <v>63.247999999999998</v>
      </c>
      <c r="EO93" s="107"/>
      <c r="EP93" s="108">
        <v>1.4</v>
      </c>
      <c r="EQ93" s="105">
        <f>SUM(ER93,ET93)</f>
        <v>1.448</v>
      </c>
      <c r="ER93" s="106">
        <v>1.448</v>
      </c>
      <c r="ES93" s="107"/>
      <c r="ET93" s="108"/>
    </row>
    <row r="94" spans="1:150" s="4" customFormat="1" ht="21.65" customHeight="1" x14ac:dyDescent="0.25">
      <c r="A94" s="42" t="s">
        <v>33</v>
      </c>
      <c r="B94" s="103" t="s">
        <v>47</v>
      </c>
      <c r="C94" s="48" t="s">
        <v>148</v>
      </c>
      <c r="D94" s="139" t="s">
        <v>37</v>
      </c>
      <c r="E94" s="105">
        <f t="shared" ref="E94:E96" si="894">SUM(F94,H94)</f>
        <v>0.97</v>
      </c>
      <c r="F94" s="106">
        <v>0.97</v>
      </c>
      <c r="G94" s="107"/>
      <c r="H94" s="108"/>
      <c r="I94" s="105">
        <f t="shared" ref="I94:I96" si="895">SUM(J94,L94)</f>
        <v>0</v>
      </c>
      <c r="J94" s="106"/>
      <c r="K94" s="107"/>
      <c r="L94" s="108"/>
      <c r="M94" s="105">
        <f t="shared" ref="M94:M96" si="896">SUM(N94,P94)</f>
        <v>0</v>
      </c>
      <c r="N94" s="106"/>
      <c r="O94" s="107"/>
      <c r="P94" s="108"/>
      <c r="Q94" s="105">
        <f t="shared" ref="Q94:Q96" si="897">SUM(R94,T94)</f>
        <v>0</v>
      </c>
      <c r="R94" s="106"/>
      <c r="S94" s="107"/>
      <c r="T94" s="108"/>
      <c r="U94" s="105">
        <f t="shared" si="886"/>
        <v>0.97</v>
      </c>
      <c r="V94" s="106">
        <f t="shared" si="887"/>
        <v>0.97</v>
      </c>
      <c r="W94" s="107">
        <f t="shared" si="888"/>
        <v>0</v>
      </c>
      <c r="X94" s="108">
        <f t="shared" si="889"/>
        <v>0</v>
      </c>
      <c r="Y94" s="105">
        <f t="shared" si="890"/>
        <v>0</v>
      </c>
      <c r="Z94" s="106">
        <f t="shared" si="891"/>
        <v>0</v>
      </c>
      <c r="AA94" s="107">
        <f t="shared" si="892"/>
        <v>0</v>
      </c>
      <c r="AB94" s="108">
        <f t="shared" si="893"/>
        <v>0</v>
      </c>
      <c r="AC94" s="105">
        <f t="shared" ref="AC94:AC96" si="898">SUM(AD94,AF94)</f>
        <v>0</v>
      </c>
      <c r="AD94" s="106"/>
      <c r="AE94" s="107"/>
      <c r="AF94" s="108"/>
      <c r="AG94" s="105">
        <f t="shared" ref="AG94:AG96" si="899">SUM(AH94,AJ94)</f>
        <v>0</v>
      </c>
      <c r="AH94" s="106"/>
      <c r="AI94" s="107"/>
      <c r="AJ94" s="108"/>
      <c r="AK94" s="105">
        <f t="shared" si="830"/>
        <v>0.97</v>
      </c>
      <c r="AL94" s="106">
        <f t="shared" si="831"/>
        <v>0.97</v>
      </c>
      <c r="AM94" s="107">
        <f t="shared" si="832"/>
        <v>0</v>
      </c>
      <c r="AN94" s="108">
        <f t="shared" si="833"/>
        <v>0</v>
      </c>
      <c r="AO94" s="105">
        <f t="shared" si="834"/>
        <v>0</v>
      </c>
      <c r="AP94" s="106">
        <f t="shared" si="835"/>
        <v>0</v>
      </c>
      <c r="AQ94" s="107">
        <f t="shared" si="836"/>
        <v>0</v>
      </c>
      <c r="AR94" s="108">
        <f t="shared" si="837"/>
        <v>0</v>
      </c>
      <c r="AS94" s="105">
        <f t="shared" ref="AS94:AS96" si="900">SUM(AT94,AV94)</f>
        <v>0</v>
      </c>
      <c r="AT94" s="106"/>
      <c r="AU94" s="107"/>
      <c r="AV94" s="108"/>
      <c r="AW94" s="105">
        <f t="shared" ref="AW94:AW96" si="901">SUM(AX94,AZ94)</f>
        <v>0</v>
      </c>
      <c r="AX94" s="106"/>
      <c r="AY94" s="107"/>
      <c r="AZ94" s="108"/>
      <c r="BA94" s="105">
        <f t="shared" si="838"/>
        <v>0.97</v>
      </c>
      <c r="BB94" s="106">
        <f t="shared" si="839"/>
        <v>0.97</v>
      </c>
      <c r="BC94" s="107">
        <f t="shared" si="840"/>
        <v>0</v>
      </c>
      <c r="BD94" s="108">
        <f t="shared" si="841"/>
        <v>0</v>
      </c>
      <c r="BE94" s="105">
        <f t="shared" si="842"/>
        <v>0</v>
      </c>
      <c r="BF94" s="106">
        <f t="shared" si="843"/>
        <v>0</v>
      </c>
      <c r="BG94" s="107">
        <f t="shared" si="844"/>
        <v>0</v>
      </c>
      <c r="BH94" s="108">
        <f t="shared" si="845"/>
        <v>0</v>
      </c>
      <c r="BI94" s="105">
        <f t="shared" ref="BI94:BI96" si="902">SUM(BJ94,BL94)</f>
        <v>0</v>
      </c>
      <c r="BJ94" s="106"/>
      <c r="BK94" s="107"/>
      <c r="BL94" s="108"/>
      <c r="BM94" s="105">
        <f t="shared" ref="BM94:BM96" si="903">SUM(BN94,BP94)</f>
        <v>0</v>
      </c>
      <c r="BN94" s="106"/>
      <c r="BO94" s="107"/>
      <c r="BP94" s="108"/>
      <c r="BQ94" s="105">
        <f t="shared" si="846"/>
        <v>0.97</v>
      </c>
      <c r="BR94" s="106">
        <f t="shared" si="847"/>
        <v>0.97</v>
      </c>
      <c r="BS94" s="107">
        <f t="shared" si="848"/>
        <v>0</v>
      </c>
      <c r="BT94" s="108">
        <f t="shared" si="849"/>
        <v>0</v>
      </c>
      <c r="BU94" s="105">
        <f t="shared" si="850"/>
        <v>0</v>
      </c>
      <c r="BV94" s="106">
        <f t="shared" si="851"/>
        <v>0</v>
      </c>
      <c r="BW94" s="107">
        <f t="shared" si="852"/>
        <v>0</v>
      </c>
      <c r="BX94" s="108">
        <f t="shared" si="853"/>
        <v>0</v>
      </c>
      <c r="BY94" s="164">
        <f t="shared" ref="BY94:BY96" si="904">SUM(BZ94,CB94)</f>
        <v>0</v>
      </c>
      <c r="BZ94" s="147"/>
      <c r="CA94" s="161"/>
      <c r="CB94" s="162"/>
      <c r="CC94" s="164">
        <f t="shared" ref="CC94:CC96" si="905">SUM(CD94,CF94)</f>
        <v>0</v>
      </c>
      <c r="CD94" s="147"/>
      <c r="CE94" s="161"/>
      <c r="CF94" s="162"/>
      <c r="CG94" s="105">
        <f t="shared" si="854"/>
        <v>0.97</v>
      </c>
      <c r="CH94" s="106">
        <f t="shared" si="855"/>
        <v>0.97</v>
      </c>
      <c r="CI94" s="107">
        <f t="shared" si="856"/>
        <v>0</v>
      </c>
      <c r="CJ94" s="108">
        <f t="shared" si="857"/>
        <v>0</v>
      </c>
      <c r="CK94" s="105">
        <f t="shared" si="858"/>
        <v>0</v>
      </c>
      <c r="CL94" s="106">
        <f t="shared" si="859"/>
        <v>0</v>
      </c>
      <c r="CM94" s="107">
        <f t="shared" si="860"/>
        <v>0</v>
      </c>
      <c r="CN94" s="108">
        <f t="shared" si="861"/>
        <v>0</v>
      </c>
      <c r="CO94" s="164">
        <f t="shared" ref="CO94:CO96" si="906">SUM(CP94,CR94)</f>
        <v>0</v>
      </c>
      <c r="CP94" s="147"/>
      <c r="CQ94" s="161"/>
      <c r="CR94" s="162"/>
      <c r="CS94" s="164">
        <f t="shared" ref="CS94:CS96" si="907">SUM(CT94,CV94)</f>
        <v>0</v>
      </c>
      <c r="CT94" s="147"/>
      <c r="CU94" s="161"/>
      <c r="CV94" s="162"/>
      <c r="CW94" s="105">
        <f t="shared" si="862"/>
        <v>0.97</v>
      </c>
      <c r="CX94" s="106">
        <f t="shared" si="863"/>
        <v>0.97</v>
      </c>
      <c r="CY94" s="107">
        <f t="shared" si="864"/>
        <v>0</v>
      </c>
      <c r="CZ94" s="108">
        <f t="shared" si="865"/>
        <v>0</v>
      </c>
      <c r="DA94" s="105">
        <f t="shared" si="866"/>
        <v>0</v>
      </c>
      <c r="DB94" s="106">
        <f t="shared" si="867"/>
        <v>0</v>
      </c>
      <c r="DC94" s="107">
        <f t="shared" si="868"/>
        <v>0</v>
      </c>
      <c r="DD94" s="108">
        <f t="shared" si="869"/>
        <v>0</v>
      </c>
      <c r="DE94" s="164">
        <f t="shared" ref="DE94:DE96" si="908">SUM(DF94,DH94)</f>
        <v>0</v>
      </c>
      <c r="DF94" s="147"/>
      <c r="DG94" s="161"/>
      <c r="DH94" s="162"/>
      <c r="DI94" s="164">
        <f t="shared" ref="DI94:DI96" si="909">SUM(DJ94,DL94)</f>
        <v>0</v>
      </c>
      <c r="DJ94" s="147"/>
      <c r="DK94" s="161"/>
      <c r="DL94" s="162"/>
      <c r="DM94" s="105">
        <f t="shared" si="870"/>
        <v>0.97</v>
      </c>
      <c r="DN94" s="106">
        <f t="shared" si="871"/>
        <v>0.97</v>
      </c>
      <c r="DO94" s="107">
        <f t="shared" si="872"/>
        <v>0</v>
      </c>
      <c r="DP94" s="108">
        <f t="shared" si="873"/>
        <v>0</v>
      </c>
      <c r="DQ94" s="105">
        <f t="shared" si="874"/>
        <v>0</v>
      </c>
      <c r="DR94" s="106">
        <f t="shared" si="875"/>
        <v>0</v>
      </c>
      <c r="DS94" s="107">
        <f t="shared" si="876"/>
        <v>0</v>
      </c>
      <c r="DT94" s="108">
        <f t="shared" si="877"/>
        <v>0</v>
      </c>
      <c r="DU94" s="164">
        <f t="shared" ref="DU94:DU96" si="910">SUM(DV94,DX94)</f>
        <v>0</v>
      </c>
      <c r="DV94" s="147"/>
      <c r="DW94" s="161"/>
      <c r="DX94" s="162"/>
      <c r="DY94" s="164">
        <f t="shared" ref="DY94:DY96" si="911">SUM(DZ94,EB94)</f>
        <v>0</v>
      </c>
      <c r="DZ94" s="147"/>
      <c r="EA94" s="161"/>
      <c r="EB94" s="162"/>
      <c r="EC94" s="105">
        <f t="shared" si="878"/>
        <v>0.97</v>
      </c>
      <c r="ED94" s="106">
        <f t="shared" si="879"/>
        <v>0.97</v>
      </c>
      <c r="EE94" s="107">
        <f t="shared" si="880"/>
        <v>0</v>
      </c>
      <c r="EF94" s="108">
        <f t="shared" si="881"/>
        <v>0</v>
      </c>
      <c r="EG94" s="105">
        <f t="shared" si="882"/>
        <v>0</v>
      </c>
      <c r="EH94" s="106">
        <f t="shared" si="883"/>
        <v>0</v>
      </c>
      <c r="EI94" s="107">
        <f t="shared" si="884"/>
        <v>0</v>
      </c>
      <c r="EJ94" s="108">
        <f t="shared" si="885"/>
        <v>0</v>
      </c>
      <c r="EK94" s="154">
        <f t="shared" si="648"/>
        <v>-0.14000000000000001</v>
      </c>
      <c r="EL94" s="154">
        <f t="shared" si="649"/>
        <v>-0.14000000000000001</v>
      </c>
      <c r="EM94" s="105">
        <f t="shared" ref="EM94:EM96" si="912">SUM(EN94,EP94)</f>
        <v>0.83</v>
      </c>
      <c r="EN94" s="106">
        <v>0.83</v>
      </c>
      <c r="EO94" s="107"/>
      <c r="EP94" s="108"/>
      <c r="EQ94" s="105">
        <f t="shared" ref="EQ94:EQ96" si="913">SUM(ER94,ET94)</f>
        <v>0</v>
      </c>
      <c r="ER94" s="106"/>
      <c r="ES94" s="107"/>
      <c r="ET94" s="108"/>
    </row>
    <row r="95" spans="1:150" s="4" customFormat="1" ht="21.65" customHeight="1" x14ac:dyDescent="0.25">
      <c r="A95" s="704" t="s">
        <v>7</v>
      </c>
      <c r="B95" s="702" t="s">
        <v>49</v>
      </c>
      <c r="C95" s="48" t="s">
        <v>185</v>
      </c>
      <c r="D95" s="139" t="s">
        <v>37</v>
      </c>
      <c r="E95" s="105">
        <f t="shared" si="894"/>
        <v>43.158000000000001</v>
      </c>
      <c r="F95" s="106">
        <f>J95+17.89</f>
        <v>28.448</v>
      </c>
      <c r="G95" s="107"/>
      <c r="H95" s="108">
        <f>10+L95</f>
        <v>14.71</v>
      </c>
      <c r="I95" s="105">
        <f t="shared" si="895"/>
        <v>15.268000000000001</v>
      </c>
      <c r="J95" s="106">
        <v>10.558</v>
      </c>
      <c r="K95" s="107"/>
      <c r="L95" s="108">
        <v>4.71</v>
      </c>
      <c r="M95" s="105">
        <f t="shared" si="896"/>
        <v>1</v>
      </c>
      <c r="N95" s="106"/>
      <c r="O95" s="107"/>
      <c r="P95" s="108">
        <v>1</v>
      </c>
      <c r="Q95" s="105">
        <f t="shared" si="897"/>
        <v>1</v>
      </c>
      <c r="R95" s="106"/>
      <c r="S95" s="107"/>
      <c r="T95" s="108">
        <v>1</v>
      </c>
      <c r="U95" s="105">
        <f t="shared" si="886"/>
        <v>44.158000000000001</v>
      </c>
      <c r="V95" s="106">
        <f t="shared" si="887"/>
        <v>28.448</v>
      </c>
      <c r="W95" s="107">
        <f t="shared" si="888"/>
        <v>0</v>
      </c>
      <c r="X95" s="108">
        <f t="shared" si="889"/>
        <v>15.71</v>
      </c>
      <c r="Y95" s="105">
        <f t="shared" si="890"/>
        <v>16.268000000000001</v>
      </c>
      <c r="Z95" s="106">
        <f t="shared" si="891"/>
        <v>10.558</v>
      </c>
      <c r="AA95" s="107">
        <f t="shared" si="892"/>
        <v>0</v>
      </c>
      <c r="AB95" s="108">
        <f t="shared" si="893"/>
        <v>5.71</v>
      </c>
      <c r="AC95" s="105">
        <f t="shared" si="898"/>
        <v>-0.153</v>
      </c>
      <c r="AD95" s="106"/>
      <c r="AE95" s="107"/>
      <c r="AF95" s="108">
        <v>-0.153</v>
      </c>
      <c r="AG95" s="105">
        <f t="shared" si="899"/>
        <v>-0.153</v>
      </c>
      <c r="AH95" s="106"/>
      <c r="AI95" s="107"/>
      <c r="AJ95" s="108">
        <v>-0.153</v>
      </c>
      <c r="AK95" s="105">
        <f t="shared" si="830"/>
        <v>44.005000000000003</v>
      </c>
      <c r="AL95" s="106">
        <f t="shared" si="831"/>
        <v>28.448</v>
      </c>
      <c r="AM95" s="107">
        <f t="shared" si="832"/>
        <v>0</v>
      </c>
      <c r="AN95" s="108">
        <f>X95+AF95</f>
        <v>15.557</v>
      </c>
      <c r="AO95" s="105">
        <f t="shared" si="834"/>
        <v>16.115000000000002</v>
      </c>
      <c r="AP95" s="106">
        <f t="shared" si="835"/>
        <v>10.558</v>
      </c>
      <c r="AQ95" s="107">
        <f t="shared" si="836"/>
        <v>0</v>
      </c>
      <c r="AR95" s="108">
        <f t="shared" si="837"/>
        <v>5.5570000000000004</v>
      </c>
      <c r="AS95" s="105">
        <f t="shared" si="900"/>
        <v>1.222</v>
      </c>
      <c r="AT95" s="106">
        <v>1.222</v>
      </c>
      <c r="AU95" s="107"/>
      <c r="AV95" s="108"/>
      <c r="AW95" s="105">
        <f t="shared" si="901"/>
        <v>0</v>
      </c>
      <c r="AX95" s="106"/>
      <c r="AY95" s="107"/>
      <c r="AZ95" s="108"/>
      <c r="BA95" s="105">
        <f t="shared" si="838"/>
        <v>45.227000000000004</v>
      </c>
      <c r="BB95" s="106">
        <f>AL95+AT95</f>
        <v>29.67</v>
      </c>
      <c r="BC95" s="107">
        <f t="shared" si="840"/>
        <v>0</v>
      </c>
      <c r="BD95" s="108">
        <f>AN95+AV95</f>
        <v>15.557</v>
      </c>
      <c r="BE95" s="105">
        <f t="shared" si="842"/>
        <v>16.115000000000002</v>
      </c>
      <c r="BF95" s="106">
        <f t="shared" si="843"/>
        <v>10.558</v>
      </c>
      <c r="BG95" s="107">
        <f t="shared" si="844"/>
        <v>0</v>
      </c>
      <c r="BH95" s="108">
        <f t="shared" si="845"/>
        <v>5.5570000000000004</v>
      </c>
      <c r="BI95" s="105">
        <f t="shared" si="902"/>
        <v>0</v>
      </c>
      <c r="BJ95" s="106"/>
      <c r="BK95" s="107"/>
      <c r="BL95" s="108"/>
      <c r="BM95" s="105">
        <f t="shared" si="903"/>
        <v>0</v>
      </c>
      <c r="BN95" s="106"/>
      <c r="BO95" s="107"/>
      <c r="BP95" s="108"/>
      <c r="BQ95" s="105">
        <f t="shared" si="846"/>
        <v>45.227000000000004</v>
      </c>
      <c r="BR95" s="106">
        <f>BB95+BJ95</f>
        <v>29.67</v>
      </c>
      <c r="BS95" s="107">
        <f t="shared" si="848"/>
        <v>0</v>
      </c>
      <c r="BT95" s="108">
        <f>BD95+BL95</f>
        <v>15.557</v>
      </c>
      <c r="BU95" s="105">
        <f t="shared" si="850"/>
        <v>16.115000000000002</v>
      </c>
      <c r="BV95" s="106">
        <f t="shared" si="851"/>
        <v>10.558</v>
      </c>
      <c r="BW95" s="107">
        <f t="shared" si="852"/>
        <v>0</v>
      </c>
      <c r="BX95" s="108">
        <f t="shared" si="853"/>
        <v>5.5570000000000004</v>
      </c>
      <c r="BY95" s="164">
        <f t="shared" si="904"/>
        <v>0</v>
      </c>
      <c r="BZ95" s="147"/>
      <c r="CA95" s="161"/>
      <c r="CB95" s="162"/>
      <c r="CC95" s="164">
        <f t="shared" si="905"/>
        <v>0</v>
      </c>
      <c r="CD95" s="147"/>
      <c r="CE95" s="161"/>
      <c r="CF95" s="162"/>
      <c r="CG95" s="105">
        <f t="shared" si="854"/>
        <v>45.227000000000004</v>
      </c>
      <c r="CH95" s="106">
        <f>BR95+BZ95</f>
        <v>29.67</v>
      </c>
      <c r="CI95" s="107">
        <f t="shared" si="856"/>
        <v>0</v>
      </c>
      <c r="CJ95" s="108">
        <f>BT95+CB95</f>
        <v>15.557</v>
      </c>
      <c r="CK95" s="105">
        <f t="shared" si="858"/>
        <v>16.115000000000002</v>
      </c>
      <c r="CL95" s="106">
        <f t="shared" si="859"/>
        <v>10.558</v>
      </c>
      <c r="CM95" s="107">
        <f t="shared" si="860"/>
        <v>0</v>
      </c>
      <c r="CN95" s="108">
        <f t="shared" si="861"/>
        <v>5.5570000000000004</v>
      </c>
      <c r="CO95" s="164">
        <f t="shared" si="906"/>
        <v>0</v>
      </c>
      <c r="CP95" s="147"/>
      <c r="CQ95" s="161"/>
      <c r="CR95" s="162"/>
      <c r="CS95" s="164">
        <f t="shared" si="907"/>
        <v>0</v>
      </c>
      <c r="CT95" s="147"/>
      <c r="CU95" s="161"/>
      <c r="CV95" s="162"/>
      <c r="CW95" s="105">
        <f t="shared" si="862"/>
        <v>45.227000000000004</v>
      </c>
      <c r="CX95" s="106">
        <f>CH95+CP95</f>
        <v>29.67</v>
      </c>
      <c r="CY95" s="107">
        <f t="shared" si="864"/>
        <v>0</v>
      </c>
      <c r="CZ95" s="108">
        <f>CJ95+CR95</f>
        <v>15.557</v>
      </c>
      <c r="DA95" s="105">
        <f t="shared" si="866"/>
        <v>16.115000000000002</v>
      </c>
      <c r="DB95" s="106">
        <f t="shared" si="867"/>
        <v>10.558</v>
      </c>
      <c r="DC95" s="107">
        <f t="shared" si="868"/>
        <v>0</v>
      </c>
      <c r="DD95" s="108">
        <f t="shared" si="869"/>
        <v>5.5570000000000004</v>
      </c>
      <c r="DE95" s="164">
        <f t="shared" si="908"/>
        <v>0</v>
      </c>
      <c r="DF95" s="147"/>
      <c r="DG95" s="161"/>
      <c r="DH95" s="162"/>
      <c r="DI95" s="164">
        <f t="shared" si="909"/>
        <v>0</v>
      </c>
      <c r="DJ95" s="147"/>
      <c r="DK95" s="161"/>
      <c r="DL95" s="162"/>
      <c r="DM95" s="105">
        <f t="shared" si="870"/>
        <v>45.227000000000004</v>
      </c>
      <c r="DN95" s="106">
        <f>CX95+DF95</f>
        <v>29.67</v>
      </c>
      <c r="DO95" s="107">
        <f t="shared" si="872"/>
        <v>0</v>
      </c>
      <c r="DP95" s="108">
        <f>CZ95+DH95</f>
        <v>15.557</v>
      </c>
      <c r="DQ95" s="105">
        <f t="shared" si="874"/>
        <v>16.115000000000002</v>
      </c>
      <c r="DR95" s="106">
        <f t="shared" si="875"/>
        <v>10.558</v>
      </c>
      <c r="DS95" s="107">
        <f t="shared" si="876"/>
        <v>0</v>
      </c>
      <c r="DT95" s="108">
        <f t="shared" si="877"/>
        <v>5.5570000000000004</v>
      </c>
      <c r="DU95" s="164">
        <f t="shared" si="910"/>
        <v>2.5300000000000002</v>
      </c>
      <c r="DV95" s="147">
        <v>0.41</v>
      </c>
      <c r="DW95" s="161"/>
      <c r="DX95" s="162">
        <v>2.12</v>
      </c>
      <c r="DY95" s="164">
        <f t="shared" si="911"/>
        <v>0</v>
      </c>
      <c r="DZ95" s="147"/>
      <c r="EA95" s="161"/>
      <c r="EB95" s="162"/>
      <c r="EC95" s="105">
        <f t="shared" si="878"/>
        <v>47.757000000000005</v>
      </c>
      <c r="ED95" s="106">
        <f>DN95+DV95</f>
        <v>30.080000000000002</v>
      </c>
      <c r="EE95" s="107">
        <f t="shared" si="880"/>
        <v>0</v>
      </c>
      <c r="EF95" s="108">
        <f>DP95+DX95</f>
        <v>17.677</v>
      </c>
      <c r="EG95" s="105">
        <f t="shared" si="882"/>
        <v>16.115000000000002</v>
      </c>
      <c r="EH95" s="106">
        <f t="shared" si="883"/>
        <v>10.558</v>
      </c>
      <c r="EI95" s="107">
        <f t="shared" si="884"/>
        <v>0</v>
      </c>
      <c r="EJ95" s="108">
        <f t="shared" si="885"/>
        <v>5.5570000000000004</v>
      </c>
      <c r="EK95" s="154">
        <f t="shared" si="648"/>
        <v>-35.183</v>
      </c>
      <c r="EL95" s="154">
        <f t="shared" si="649"/>
        <v>-39.782000000000004</v>
      </c>
      <c r="EM95" s="105">
        <f t="shared" si="912"/>
        <v>7.9749999999999996</v>
      </c>
      <c r="EN95" s="106"/>
      <c r="EO95" s="107"/>
      <c r="EP95" s="108">
        <f>ET95+7.5</f>
        <v>7.9749999999999996</v>
      </c>
      <c r="EQ95" s="105">
        <f t="shared" si="913"/>
        <v>0.47499999999999998</v>
      </c>
      <c r="ER95" s="106"/>
      <c r="ES95" s="107"/>
      <c r="ET95" s="108">
        <v>0.47499999999999998</v>
      </c>
    </row>
    <row r="96" spans="1:150" s="4" customFormat="1" ht="21.65" customHeight="1" x14ac:dyDescent="0.25">
      <c r="A96" s="705"/>
      <c r="B96" s="703"/>
      <c r="C96" s="48" t="s">
        <v>200</v>
      </c>
      <c r="D96" s="139" t="s">
        <v>52</v>
      </c>
      <c r="E96" s="105">
        <f t="shared" si="894"/>
        <v>2.5</v>
      </c>
      <c r="F96" s="106"/>
      <c r="G96" s="107"/>
      <c r="H96" s="108">
        <v>2.5</v>
      </c>
      <c r="I96" s="105">
        <f t="shared" si="895"/>
        <v>0</v>
      </c>
      <c r="J96" s="106"/>
      <c r="K96" s="107"/>
      <c r="L96" s="108"/>
      <c r="M96" s="105">
        <f t="shared" si="896"/>
        <v>0</v>
      </c>
      <c r="N96" s="106"/>
      <c r="O96" s="107"/>
      <c r="P96" s="108"/>
      <c r="Q96" s="105">
        <f t="shared" si="897"/>
        <v>0</v>
      </c>
      <c r="R96" s="106"/>
      <c r="S96" s="107"/>
      <c r="T96" s="108"/>
      <c r="U96" s="105">
        <f t="shared" si="886"/>
        <v>2.5</v>
      </c>
      <c r="V96" s="106">
        <f t="shared" si="887"/>
        <v>0</v>
      </c>
      <c r="W96" s="107">
        <f t="shared" si="888"/>
        <v>0</v>
      </c>
      <c r="X96" s="108">
        <f t="shared" si="889"/>
        <v>2.5</v>
      </c>
      <c r="Y96" s="105">
        <f t="shared" si="890"/>
        <v>0</v>
      </c>
      <c r="Z96" s="106">
        <f t="shared" si="891"/>
        <v>0</v>
      </c>
      <c r="AA96" s="107">
        <f t="shared" si="892"/>
        <v>0</v>
      </c>
      <c r="AB96" s="108">
        <f t="shared" si="893"/>
        <v>0</v>
      </c>
      <c r="AC96" s="105">
        <f t="shared" si="898"/>
        <v>0</v>
      </c>
      <c r="AD96" s="106"/>
      <c r="AE96" s="107"/>
      <c r="AF96" s="108"/>
      <c r="AG96" s="105">
        <f t="shared" si="899"/>
        <v>0</v>
      </c>
      <c r="AH96" s="106"/>
      <c r="AI96" s="107"/>
      <c r="AJ96" s="108"/>
      <c r="AK96" s="105">
        <f t="shared" si="830"/>
        <v>2.5</v>
      </c>
      <c r="AL96" s="106">
        <f t="shared" si="831"/>
        <v>0</v>
      </c>
      <c r="AM96" s="107">
        <f t="shared" si="832"/>
        <v>0</v>
      </c>
      <c r="AN96" s="108">
        <f t="shared" si="833"/>
        <v>2.5</v>
      </c>
      <c r="AO96" s="105">
        <f t="shared" si="834"/>
        <v>0</v>
      </c>
      <c r="AP96" s="106">
        <f t="shared" si="835"/>
        <v>0</v>
      </c>
      <c r="AQ96" s="107">
        <f t="shared" si="836"/>
        <v>0</v>
      </c>
      <c r="AR96" s="108">
        <f t="shared" si="837"/>
        <v>0</v>
      </c>
      <c r="AS96" s="105">
        <f t="shared" si="900"/>
        <v>0</v>
      </c>
      <c r="AT96" s="106"/>
      <c r="AU96" s="107"/>
      <c r="AV96" s="108"/>
      <c r="AW96" s="105">
        <f t="shared" si="901"/>
        <v>0</v>
      </c>
      <c r="AX96" s="106"/>
      <c r="AY96" s="107"/>
      <c r="AZ96" s="108"/>
      <c r="BA96" s="105">
        <f t="shared" si="838"/>
        <v>2.5</v>
      </c>
      <c r="BB96" s="106">
        <f t="shared" si="839"/>
        <v>0</v>
      </c>
      <c r="BC96" s="107">
        <f t="shared" si="840"/>
        <v>0</v>
      </c>
      <c r="BD96" s="108">
        <f t="shared" ref="BD96" si="914">AN96+AV96</f>
        <v>2.5</v>
      </c>
      <c r="BE96" s="105">
        <f t="shared" si="842"/>
        <v>0</v>
      </c>
      <c r="BF96" s="106">
        <f t="shared" si="843"/>
        <v>0</v>
      </c>
      <c r="BG96" s="107">
        <f t="shared" si="844"/>
        <v>0</v>
      </c>
      <c r="BH96" s="108">
        <f t="shared" si="845"/>
        <v>0</v>
      </c>
      <c r="BI96" s="105">
        <f t="shared" si="902"/>
        <v>0</v>
      </c>
      <c r="BJ96" s="106"/>
      <c r="BK96" s="107"/>
      <c r="BL96" s="108"/>
      <c r="BM96" s="105">
        <f t="shared" si="903"/>
        <v>0</v>
      </c>
      <c r="BN96" s="106"/>
      <c r="BO96" s="107"/>
      <c r="BP96" s="108"/>
      <c r="BQ96" s="105">
        <f t="shared" si="846"/>
        <v>2.5</v>
      </c>
      <c r="BR96" s="106">
        <f t="shared" ref="BR96" si="915">BB96+BJ96</f>
        <v>0</v>
      </c>
      <c r="BS96" s="107">
        <f t="shared" si="848"/>
        <v>0</v>
      </c>
      <c r="BT96" s="108">
        <f t="shared" ref="BT96" si="916">BD96+BL96</f>
        <v>2.5</v>
      </c>
      <c r="BU96" s="105">
        <f t="shared" si="850"/>
        <v>0</v>
      </c>
      <c r="BV96" s="106">
        <f t="shared" si="851"/>
        <v>0</v>
      </c>
      <c r="BW96" s="107">
        <f t="shared" si="852"/>
        <v>0</v>
      </c>
      <c r="BX96" s="108">
        <f t="shared" si="853"/>
        <v>0</v>
      </c>
      <c r="BY96" s="164">
        <f t="shared" si="904"/>
        <v>0</v>
      </c>
      <c r="BZ96" s="147"/>
      <c r="CA96" s="161"/>
      <c r="CB96" s="162"/>
      <c r="CC96" s="164">
        <f t="shared" si="905"/>
        <v>0</v>
      </c>
      <c r="CD96" s="147"/>
      <c r="CE96" s="161"/>
      <c r="CF96" s="162"/>
      <c r="CG96" s="105">
        <f t="shared" si="854"/>
        <v>2.5</v>
      </c>
      <c r="CH96" s="106">
        <f t="shared" ref="CH96" si="917">BR96+BZ96</f>
        <v>0</v>
      </c>
      <c r="CI96" s="107">
        <f t="shared" si="856"/>
        <v>0</v>
      </c>
      <c r="CJ96" s="108">
        <f t="shared" ref="CJ96" si="918">BT96+CB96</f>
        <v>2.5</v>
      </c>
      <c r="CK96" s="105">
        <f t="shared" si="858"/>
        <v>0</v>
      </c>
      <c r="CL96" s="106">
        <f t="shared" si="859"/>
        <v>0</v>
      </c>
      <c r="CM96" s="107">
        <f t="shared" si="860"/>
        <v>0</v>
      </c>
      <c r="CN96" s="108">
        <f t="shared" si="861"/>
        <v>0</v>
      </c>
      <c r="CO96" s="164">
        <f t="shared" si="906"/>
        <v>0</v>
      </c>
      <c r="CP96" s="147"/>
      <c r="CQ96" s="161"/>
      <c r="CR96" s="162"/>
      <c r="CS96" s="164">
        <f t="shared" si="907"/>
        <v>0</v>
      </c>
      <c r="CT96" s="147"/>
      <c r="CU96" s="161"/>
      <c r="CV96" s="162"/>
      <c r="CW96" s="105">
        <f t="shared" si="862"/>
        <v>2.5</v>
      </c>
      <c r="CX96" s="106">
        <f t="shared" ref="CX96" si="919">CH96+CP96</f>
        <v>0</v>
      </c>
      <c r="CY96" s="107">
        <f t="shared" si="864"/>
        <v>0</v>
      </c>
      <c r="CZ96" s="108">
        <f t="shared" ref="CZ96" si="920">CJ96+CR96</f>
        <v>2.5</v>
      </c>
      <c r="DA96" s="105">
        <f t="shared" si="866"/>
        <v>0</v>
      </c>
      <c r="DB96" s="106">
        <f t="shared" si="867"/>
        <v>0</v>
      </c>
      <c r="DC96" s="107">
        <f t="shared" si="868"/>
        <v>0</v>
      </c>
      <c r="DD96" s="108">
        <f t="shared" si="869"/>
        <v>0</v>
      </c>
      <c r="DE96" s="164">
        <f t="shared" si="908"/>
        <v>0</v>
      </c>
      <c r="DF96" s="147"/>
      <c r="DG96" s="161"/>
      <c r="DH96" s="162"/>
      <c r="DI96" s="164">
        <f t="shared" si="909"/>
        <v>0</v>
      </c>
      <c r="DJ96" s="147"/>
      <c r="DK96" s="161"/>
      <c r="DL96" s="162"/>
      <c r="DM96" s="105">
        <f t="shared" si="870"/>
        <v>2.5</v>
      </c>
      <c r="DN96" s="106">
        <f t="shared" ref="DN96" si="921">CX96+DF96</f>
        <v>0</v>
      </c>
      <c r="DO96" s="107">
        <f t="shared" si="872"/>
        <v>0</v>
      </c>
      <c r="DP96" s="108">
        <f t="shared" ref="DP96" si="922">CZ96+DH96</f>
        <v>2.5</v>
      </c>
      <c r="DQ96" s="105">
        <f t="shared" si="874"/>
        <v>0</v>
      </c>
      <c r="DR96" s="106">
        <f t="shared" si="875"/>
        <v>0</v>
      </c>
      <c r="DS96" s="107">
        <f t="shared" si="876"/>
        <v>0</v>
      </c>
      <c r="DT96" s="108">
        <f t="shared" si="877"/>
        <v>0</v>
      </c>
      <c r="DU96" s="164">
        <f t="shared" si="910"/>
        <v>0</v>
      </c>
      <c r="DV96" s="147"/>
      <c r="DW96" s="161"/>
      <c r="DX96" s="162"/>
      <c r="DY96" s="164">
        <f t="shared" si="911"/>
        <v>0</v>
      </c>
      <c r="DZ96" s="147"/>
      <c r="EA96" s="161"/>
      <c r="EB96" s="162"/>
      <c r="EC96" s="105">
        <f t="shared" si="878"/>
        <v>2.5</v>
      </c>
      <c r="ED96" s="106">
        <f t="shared" ref="ED96" si="923">DN96+DV96</f>
        <v>0</v>
      </c>
      <c r="EE96" s="107">
        <f t="shared" si="880"/>
        <v>0</v>
      </c>
      <c r="EF96" s="108">
        <f t="shared" ref="EF96" si="924">DP96+DX96</f>
        <v>2.5</v>
      </c>
      <c r="EG96" s="105">
        <f t="shared" si="882"/>
        <v>0</v>
      </c>
      <c r="EH96" s="106">
        <f t="shared" si="883"/>
        <v>0</v>
      </c>
      <c r="EI96" s="107">
        <f t="shared" si="884"/>
        <v>0</v>
      </c>
      <c r="EJ96" s="108">
        <f t="shared" si="885"/>
        <v>0</v>
      </c>
      <c r="EK96" s="154">
        <f t="shared" si="648"/>
        <v>-1.4</v>
      </c>
      <c r="EL96" s="154">
        <f t="shared" si="649"/>
        <v>-1.4</v>
      </c>
      <c r="EM96" s="105">
        <f t="shared" si="912"/>
        <v>1.1000000000000001</v>
      </c>
      <c r="EN96" s="106"/>
      <c r="EO96" s="107"/>
      <c r="EP96" s="108">
        <f>0.65+0.45</f>
        <v>1.1000000000000001</v>
      </c>
      <c r="EQ96" s="105">
        <f t="shared" si="913"/>
        <v>0</v>
      </c>
      <c r="ER96" s="106"/>
      <c r="ES96" s="107"/>
      <c r="ET96" s="108"/>
    </row>
    <row r="97" spans="1:150" ht="27" customHeight="1" x14ac:dyDescent="0.3">
      <c r="A97" s="46"/>
      <c r="B97" s="33" t="s">
        <v>13</v>
      </c>
      <c r="C97" s="47" t="s">
        <v>103</v>
      </c>
      <c r="D97" s="93"/>
      <c r="E97" s="148">
        <f>SUM(F97,H97)</f>
        <v>420.82199999999995</v>
      </c>
      <c r="F97" s="149">
        <f>SUM(F99:F102)</f>
        <v>408.82199999999995</v>
      </c>
      <c r="G97" s="150">
        <f>SUM(G99:G102)</f>
        <v>270.65999999999997</v>
      </c>
      <c r="H97" s="151">
        <f>SUM(H99:H102)</f>
        <v>12</v>
      </c>
      <c r="I97" s="148">
        <f>SUM(J97,L97)</f>
        <v>1.8120000000000001</v>
      </c>
      <c r="J97" s="149">
        <f>SUM(J99:J101)</f>
        <v>1.8120000000000001</v>
      </c>
      <c r="K97" s="150">
        <f>SUM(K99:K101)</f>
        <v>0</v>
      </c>
      <c r="L97" s="151">
        <f>SUM(L99:L101)</f>
        <v>0</v>
      </c>
      <c r="M97" s="148">
        <f>SUM(N97,P97)</f>
        <v>0</v>
      </c>
      <c r="N97" s="149">
        <f>SUM(N99:N102)</f>
        <v>0</v>
      </c>
      <c r="O97" s="150">
        <f>SUM(O99:O102)</f>
        <v>0</v>
      </c>
      <c r="P97" s="151">
        <f>SUM(P99:P102)</f>
        <v>0</v>
      </c>
      <c r="Q97" s="148">
        <f>SUM(R97,T97)</f>
        <v>0</v>
      </c>
      <c r="R97" s="149">
        <f>SUM(R99:R101)</f>
        <v>0</v>
      </c>
      <c r="S97" s="150">
        <f>SUM(S99:S101)</f>
        <v>0</v>
      </c>
      <c r="T97" s="151">
        <f>SUM(T99:T101)</f>
        <v>0</v>
      </c>
      <c r="U97" s="148">
        <f>SUM(V97,X97)</f>
        <v>420.82199999999995</v>
      </c>
      <c r="V97" s="149">
        <f>SUM(V99:V102)</f>
        <v>408.82199999999995</v>
      </c>
      <c r="W97" s="150">
        <f>SUM(W99:W102)</f>
        <v>270.65999999999997</v>
      </c>
      <c r="X97" s="151">
        <f>SUM(X99:X102)</f>
        <v>12</v>
      </c>
      <c r="Y97" s="148">
        <f>SUM(Z97,AB97)</f>
        <v>1.8120000000000001</v>
      </c>
      <c r="Z97" s="149">
        <f>SUM(Z99:Z101)</f>
        <v>1.8120000000000001</v>
      </c>
      <c r="AA97" s="150">
        <f>SUM(AA99:AA101)</f>
        <v>0</v>
      </c>
      <c r="AB97" s="151">
        <f>SUM(AB99:AB101)</f>
        <v>0</v>
      </c>
      <c r="AC97" s="148">
        <f>SUM(AD97,AF97)</f>
        <v>0.23799999999999999</v>
      </c>
      <c r="AD97" s="149">
        <f>SUM(AD99:AD102)</f>
        <v>0.23799999999999999</v>
      </c>
      <c r="AE97" s="150">
        <f>SUM(AE99:AE102)</f>
        <v>0</v>
      </c>
      <c r="AF97" s="151">
        <f>SUM(AF99:AF102)</f>
        <v>0</v>
      </c>
      <c r="AG97" s="148">
        <f>SUM(AH97,AJ97)</f>
        <v>0</v>
      </c>
      <c r="AH97" s="149">
        <f>SUM(AH99:AH101)</f>
        <v>0</v>
      </c>
      <c r="AI97" s="150">
        <f>SUM(AI99:AI101)</f>
        <v>0</v>
      </c>
      <c r="AJ97" s="151">
        <f>SUM(AJ99:AJ101)</f>
        <v>0</v>
      </c>
      <c r="AK97" s="148">
        <f>SUM(AL97,AN97)</f>
        <v>421.05999999999995</v>
      </c>
      <c r="AL97" s="149">
        <f>SUM(AL99:AL102)</f>
        <v>409.05999999999995</v>
      </c>
      <c r="AM97" s="150">
        <f>SUM(AM99:AM102)</f>
        <v>270.65999999999997</v>
      </c>
      <c r="AN97" s="151">
        <f>SUM(AN99:AN102)</f>
        <v>12</v>
      </c>
      <c r="AO97" s="148">
        <f>SUM(AP97,AR97)</f>
        <v>1.8120000000000001</v>
      </c>
      <c r="AP97" s="149">
        <f>SUM(AP99:AP101)</f>
        <v>1.8120000000000001</v>
      </c>
      <c r="AQ97" s="150">
        <f>SUM(AQ99:AQ101)</f>
        <v>0</v>
      </c>
      <c r="AR97" s="151">
        <f>SUM(AR99:AR101)</f>
        <v>0</v>
      </c>
      <c r="AS97" s="148">
        <f>SUM(AT97,AV97)</f>
        <v>47.393999999999998</v>
      </c>
      <c r="AT97" s="149">
        <f>SUM(AT99:AT102)</f>
        <v>47.393999999999998</v>
      </c>
      <c r="AU97" s="150">
        <f>SUM(AU99:AU102)</f>
        <v>-0.23899999999999999</v>
      </c>
      <c r="AV97" s="151">
        <f>SUM(AV99:AV102)</f>
        <v>0</v>
      </c>
      <c r="AW97" s="148">
        <f>SUM(AX97,AZ97)</f>
        <v>0</v>
      </c>
      <c r="AX97" s="149">
        <f>SUM(AX99:AX101)</f>
        <v>0</v>
      </c>
      <c r="AY97" s="150">
        <f>SUM(AY99:AY101)</f>
        <v>0</v>
      </c>
      <c r="AZ97" s="151">
        <f>SUM(AZ99:AZ101)</f>
        <v>0</v>
      </c>
      <c r="BA97" s="148">
        <f>SUM(BB97,BD97)</f>
        <v>468.45399999999995</v>
      </c>
      <c r="BB97" s="149">
        <f>SUM(BB99:BB102)</f>
        <v>456.45399999999995</v>
      </c>
      <c r="BC97" s="150">
        <f>SUM(BC99:BC102)</f>
        <v>270.42099999999999</v>
      </c>
      <c r="BD97" s="151">
        <f>SUM(BD99:BD102)</f>
        <v>12</v>
      </c>
      <c r="BE97" s="148">
        <f>SUM(BF97,BH97)</f>
        <v>1.8120000000000001</v>
      </c>
      <c r="BF97" s="149">
        <f>SUM(BF99:BF101)</f>
        <v>1.8120000000000001</v>
      </c>
      <c r="BG97" s="150">
        <f>SUM(BG99:BG101)</f>
        <v>0</v>
      </c>
      <c r="BH97" s="151">
        <f>SUM(BH99:BH101)</f>
        <v>0</v>
      </c>
      <c r="BI97" s="148">
        <f>SUM(BJ97,BL97)</f>
        <v>0</v>
      </c>
      <c r="BJ97" s="149">
        <f>SUM(BJ99:BJ102)</f>
        <v>0</v>
      </c>
      <c r="BK97" s="150">
        <f>SUM(BK99:BK102)</f>
        <v>0</v>
      </c>
      <c r="BL97" s="151">
        <f>SUM(BL99:BL102)</f>
        <v>0</v>
      </c>
      <c r="BM97" s="148">
        <f>SUM(BN97,BP97)</f>
        <v>0</v>
      </c>
      <c r="BN97" s="149">
        <f>SUM(BN99:BN101)</f>
        <v>0</v>
      </c>
      <c r="BO97" s="150">
        <f>SUM(BO99:BO101)</f>
        <v>0</v>
      </c>
      <c r="BP97" s="151">
        <f>SUM(BP99:BP101)</f>
        <v>0</v>
      </c>
      <c r="BQ97" s="148">
        <f>SUM(BR97,BT97)</f>
        <v>468.45399999999995</v>
      </c>
      <c r="BR97" s="149">
        <f>SUM(BR99:BR102)</f>
        <v>456.45399999999995</v>
      </c>
      <c r="BS97" s="150">
        <f>SUM(BS99:BS102)</f>
        <v>270.42099999999999</v>
      </c>
      <c r="BT97" s="151">
        <f>SUM(BT99:BT102)</f>
        <v>12</v>
      </c>
      <c r="BU97" s="148">
        <f>SUM(BV97,BX97)</f>
        <v>1.8120000000000001</v>
      </c>
      <c r="BV97" s="149">
        <f>SUM(BV99:BV101)</f>
        <v>1.8120000000000001</v>
      </c>
      <c r="BW97" s="150">
        <f>SUM(BW99:BW101)</f>
        <v>0</v>
      </c>
      <c r="BX97" s="151">
        <f>SUM(BX99:BX101)</f>
        <v>0</v>
      </c>
      <c r="BY97" s="175">
        <f>SUM(BZ97,CB97)</f>
        <v>0</v>
      </c>
      <c r="BZ97" s="176">
        <f>SUM(BZ99:BZ102)</f>
        <v>0</v>
      </c>
      <c r="CA97" s="177">
        <f>SUM(CA99:CA102)</f>
        <v>0</v>
      </c>
      <c r="CB97" s="178">
        <f>SUM(CB99:CB102)</f>
        <v>0</v>
      </c>
      <c r="CC97" s="175">
        <f>SUM(CD97,CF97)</f>
        <v>0</v>
      </c>
      <c r="CD97" s="176">
        <f>SUM(CD99:CD101)</f>
        <v>0</v>
      </c>
      <c r="CE97" s="177">
        <f>SUM(CE99:CE101)</f>
        <v>0</v>
      </c>
      <c r="CF97" s="178">
        <f>SUM(CF99:CF101)</f>
        <v>0</v>
      </c>
      <c r="CG97" s="148">
        <f>SUM(CH97,CJ97)</f>
        <v>468.45399999999995</v>
      </c>
      <c r="CH97" s="149">
        <f>SUM(CH99:CH102)</f>
        <v>456.45399999999995</v>
      </c>
      <c r="CI97" s="150">
        <f>SUM(CI99:CI102)</f>
        <v>270.42099999999999</v>
      </c>
      <c r="CJ97" s="151">
        <f>SUM(CJ99:CJ102)</f>
        <v>12</v>
      </c>
      <c r="CK97" s="148">
        <f>SUM(CL97,CN97)</f>
        <v>1.8120000000000001</v>
      </c>
      <c r="CL97" s="149">
        <f>SUM(CL99:CL101)</f>
        <v>1.8120000000000001</v>
      </c>
      <c r="CM97" s="150">
        <f>SUM(CM99:CM101)</f>
        <v>0</v>
      </c>
      <c r="CN97" s="151">
        <f>SUM(CN99:CN101)</f>
        <v>0</v>
      </c>
      <c r="CO97" s="175">
        <f>SUM(CP97,CR97)</f>
        <v>0</v>
      </c>
      <c r="CP97" s="176">
        <f>SUM(CP99:CP103)</f>
        <v>-0.253</v>
      </c>
      <c r="CQ97" s="177">
        <f>SUM(CQ99:CQ103)</f>
        <v>0</v>
      </c>
      <c r="CR97" s="178">
        <f>SUM(CR99:CR103)</f>
        <v>0.25300000000000011</v>
      </c>
      <c r="CS97" s="175">
        <f>SUM(CT97,CV97)</f>
        <v>0</v>
      </c>
      <c r="CT97" s="176">
        <f>SUM(CT99:CT101)</f>
        <v>0</v>
      </c>
      <c r="CU97" s="177">
        <f>SUM(CU99:CU101)</f>
        <v>0</v>
      </c>
      <c r="CV97" s="178">
        <f>SUM(CV99:CV101)</f>
        <v>0</v>
      </c>
      <c r="CW97" s="148">
        <f>SUM(CX97,CZ97)</f>
        <v>468.45399999999995</v>
      </c>
      <c r="CX97" s="149">
        <f>SUM(CX99:CX103)</f>
        <v>456.20099999999996</v>
      </c>
      <c r="CY97" s="150">
        <f>SUM(CY99:CY103)</f>
        <v>270.42099999999999</v>
      </c>
      <c r="CZ97" s="151">
        <f>SUM(CZ99:CZ103)</f>
        <v>12.253</v>
      </c>
      <c r="DA97" s="148">
        <f>SUM(DB97,DD97)</f>
        <v>1.8120000000000001</v>
      </c>
      <c r="DB97" s="149">
        <f>SUM(DB99:DB101)</f>
        <v>1.8120000000000001</v>
      </c>
      <c r="DC97" s="150">
        <f>SUM(DC99:DC101)</f>
        <v>0</v>
      </c>
      <c r="DD97" s="151">
        <f>SUM(DD99:DD101)</f>
        <v>0</v>
      </c>
      <c r="DE97" s="175">
        <f>SUM(DF97,DH97)</f>
        <v>4.9190000000000005</v>
      </c>
      <c r="DF97" s="176">
        <f>SUM(DF99:DF103)</f>
        <v>1.92</v>
      </c>
      <c r="DG97" s="177">
        <f>SUM(DG99:DG103)</f>
        <v>-0.03</v>
      </c>
      <c r="DH97" s="178">
        <f>SUM(DH99:DH103)</f>
        <v>2.9990000000000001</v>
      </c>
      <c r="DI97" s="175">
        <f>SUM(DJ97,DL97)</f>
        <v>0</v>
      </c>
      <c r="DJ97" s="176">
        <f>SUM(DJ99:DJ101)</f>
        <v>0</v>
      </c>
      <c r="DK97" s="177">
        <f>SUM(DK99:DK101)</f>
        <v>0</v>
      </c>
      <c r="DL97" s="178">
        <f>SUM(DL99:DL101)</f>
        <v>0</v>
      </c>
      <c r="DM97" s="148">
        <f>SUM(DN97,DP97)</f>
        <v>473.37299999999999</v>
      </c>
      <c r="DN97" s="149">
        <f>SUM(DN99:DN103)</f>
        <v>458.12099999999998</v>
      </c>
      <c r="DO97" s="150">
        <f>SUM(DO99:DO103)</f>
        <v>270.39100000000002</v>
      </c>
      <c r="DP97" s="151">
        <f>SUM(DP99:DP103)</f>
        <v>15.252000000000001</v>
      </c>
      <c r="DQ97" s="148">
        <f>SUM(DR97,DT97)</f>
        <v>1.8120000000000001</v>
      </c>
      <c r="DR97" s="149">
        <f>SUM(DR99:DR101)</f>
        <v>1.8120000000000001</v>
      </c>
      <c r="DS97" s="150">
        <f>SUM(DS99:DS101)</f>
        <v>0</v>
      </c>
      <c r="DT97" s="151">
        <f>SUM(DT99:DT101)</f>
        <v>0</v>
      </c>
      <c r="DU97" s="175">
        <f>SUM(DV97,DX97)</f>
        <v>-4.9969999999999999</v>
      </c>
      <c r="DV97" s="176">
        <f>SUM(DV99:DV103)</f>
        <v>-4.9969999999999999</v>
      </c>
      <c r="DW97" s="177">
        <f>SUM(DW99:DW103)</f>
        <v>-0.77200000000000002</v>
      </c>
      <c r="DX97" s="178">
        <f>SUM(DX99:DX103)</f>
        <v>0</v>
      </c>
      <c r="DY97" s="175">
        <f>SUM(DZ97,EB97)</f>
        <v>0</v>
      </c>
      <c r="DZ97" s="176">
        <f>SUM(DZ99:DZ101)</f>
        <v>0</v>
      </c>
      <c r="EA97" s="177">
        <f>SUM(EA99:EA101)</f>
        <v>0</v>
      </c>
      <c r="EB97" s="178">
        <f>SUM(EB99:EB101)</f>
        <v>0</v>
      </c>
      <c r="EC97" s="148">
        <f>SUM(ED97,EF97)</f>
        <v>468.37599999999998</v>
      </c>
      <c r="ED97" s="149">
        <f>SUM(ED99:ED103)</f>
        <v>453.12399999999997</v>
      </c>
      <c r="EE97" s="150">
        <f>SUM(EE99:EE103)</f>
        <v>269.61900000000003</v>
      </c>
      <c r="EF97" s="151">
        <f>SUM(EF99:EF103)</f>
        <v>15.252000000000001</v>
      </c>
      <c r="EG97" s="148">
        <f>SUM(EH97,EJ97)</f>
        <v>1.8120000000000001</v>
      </c>
      <c r="EH97" s="149">
        <f>SUM(EH99:EH101)</f>
        <v>1.8120000000000001</v>
      </c>
      <c r="EI97" s="150">
        <f>SUM(EI99:EI101)</f>
        <v>0</v>
      </c>
      <c r="EJ97" s="151">
        <f>SUM(EJ99:EJ101)</f>
        <v>0</v>
      </c>
      <c r="EK97" s="155">
        <f t="shared" si="648"/>
        <v>13.073000000000036</v>
      </c>
      <c r="EL97" s="152">
        <f t="shared" si="649"/>
        <v>-34.480999999999995</v>
      </c>
      <c r="EM97" s="148">
        <f>SUM(EN97,EP97)</f>
        <v>433.89499999999998</v>
      </c>
      <c r="EN97" s="149">
        <f>SUM(EN99:EN102)</f>
        <v>430.89499999999998</v>
      </c>
      <c r="EO97" s="150">
        <f>SUM(EO99:EO102)</f>
        <v>297.58000000000004</v>
      </c>
      <c r="EP97" s="151">
        <f>SUM(EP99:EP102)</f>
        <v>3</v>
      </c>
      <c r="EQ97" s="148">
        <f>SUM(ER97,ET97)</f>
        <v>9.504999999999999</v>
      </c>
      <c r="ER97" s="149">
        <f>SUM(ER99:ER101)</f>
        <v>9.504999999999999</v>
      </c>
      <c r="ES97" s="150">
        <f>SUM(ES99:ES101)</f>
        <v>8.3800000000000008</v>
      </c>
      <c r="ET97" s="151">
        <f>SUM(ET99:ET101)</f>
        <v>0</v>
      </c>
    </row>
    <row r="98" spans="1:150" ht="17.399999999999999" customHeight="1" x14ac:dyDescent="0.3">
      <c r="A98" s="50"/>
      <c r="B98" s="6" t="s">
        <v>2</v>
      </c>
      <c r="C98" s="51"/>
      <c r="D98" s="94"/>
      <c r="E98" s="105"/>
      <c r="F98" s="106"/>
      <c r="G98" s="107"/>
      <c r="H98" s="108"/>
      <c r="I98" s="105"/>
      <c r="J98" s="106"/>
      <c r="K98" s="107"/>
      <c r="L98" s="108"/>
      <c r="M98" s="105"/>
      <c r="N98" s="106"/>
      <c r="O98" s="107"/>
      <c r="P98" s="108"/>
      <c r="Q98" s="105"/>
      <c r="R98" s="106"/>
      <c r="S98" s="107"/>
      <c r="T98" s="108"/>
      <c r="U98" s="105"/>
      <c r="V98" s="106"/>
      <c r="W98" s="107"/>
      <c r="X98" s="108"/>
      <c r="Y98" s="105"/>
      <c r="Z98" s="106"/>
      <c r="AA98" s="107"/>
      <c r="AB98" s="108"/>
      <c r="AC98" s="105"/>
      <c r="AD98" s="106"/>
      <c r="AE98" s="107"/>
      <c r="AF98" s="108"/>
      <c r="AG98" s="105"/>
      <c r="AH98" s="106"/>
      <c r="AI98" s="107"/>
      <c r="AJ98" s="108"/>
      <c r="AK98" s="105"/>
      <c r="AL98" s="106"/>
      <c r="AM98" s="107"/>
      <c r="AN98" s="108"/>
      <c r="AO98" s="105"/>
      <c r="AP98" s="106"/>
      <c r="AQ98" s="107"/>
      <c r="AR98" s="108"/>
      <c r="AS98" s="105"/>
      <c r="AT98" s="106"/>
      <c r="AU98" s="107"/>
      <c r="AV98" s="108"/>
      <c r="AW98" s="105"/>
      <c r="AX98" s="106"/>
      <c r="AY98" s="107"/>
      <c r="AZ98" s="108"/>
      <c r="BA98" s="105"/>
      <c r="BB98" s="106"/>
      <c r="BC98" s="107"/>
      <c r="BD98" s="108"/>
      <c r="BE98" s="105"/>
      <c r="BF98" s="106"/>
      <c r="BG98" s="107"/>
      <c r="BH98" s="108"/>
      <c r="BI98" s="105"/>
      <c r="BJ98" s="106"/>
      <c r="BK98" s="107"/>
      <c r="BL98" s="108"/>
      <c r="BM98" s="105"/>
      <c r="BN98" s="106"/>
      <c r="BO98" s="107"/>
      <c r="BP98" s="108"/>
      <c r="BQ98" s="105"/>
      <c r="BR98" s="106"/>
      <c r="BS98" s="107"/>
      <c r="BT98" s="108"/>
      <c r="BU98" s="105"/>
      <c r="BV98" s="106"/>
      <c r="BW98" s="107"/>
      <c r="BX98" s="108"/>
      <c r="BY98" s="164"/>
      <c r="BZ98" s="147"/>
      <c r="CA98" s="161"/>
      <c r="CB98" s="162"/>
      <c r="CC98" s="164"/>
      <c r="CD98" s="147"/>
      <c r="CE98" s="161"/>
      <c r="CF98" s="162"/>
      <c r="CG98" s="105"/>
      <c r="CH98" s="106"/>
      <c r="CI98" s="107"/>
      <c r="CJ98" s="108"/>
      <c r="CK98" s="105"/>
      <c r="CL98" s="106"/>
      <c r="CM98" s="107"/>
      <c r="CN98" s="108"/>
      <c r="CO98" s="164"/>
      <c r="CP98" s="147"/>
      <c r="CQ98" s="161"/>
      <c r="CR98" s="162"/>
      <c r="CS98" s="164"/>
      <c r="CT98" s="147"/>
      <c r="CU98" s="161"/>
      <c r="CV98" s="162"/>
      <c r="CW98" s="105"/>
      <c r="CX98" s="106"/>
      <c r="CY98" s="107"/>
      <c r="CZ98" s="108"/>
      <c r="DA98" s="105"/>
      <c r="DB98" s="106"/>
      <c r="DC98" s="107"/>
      <c r="DD98" s="108"/>
      <c r="DE98" s="164"/>
      <c r="DF98" s="147"/>
      <c r="DG98" s="161"/>
      <c r="DH98" s="162"/>
      <c r="DI98" s="164"/>
      <c r="DJ98" s="147"/>
      <c r="DK98" s="161"/>
      <c r="DL98" s="162"/>
      <c r="DM98" s="105"/>
      <c r="DN98" s="106"/>
      <c r="DO98" s="107"/>
      <c r="DP98" s="108"/>
      <c r="DQ98" s="105"/>
      <c r="DR98" s="106"/>
      <c r="DS98" s="107"/>
      <c r="DT98" s="108"/>
      <c r="DU98" s="164"/>
      <c r="DV98" s="147"/>
      <c r="DW98" s="161"/>
      <c r="DX98" s="162"/>
      <c r="DY98" s="164"/>
      <c r="DZ98" s="147"/>
      <c r="EA98" s="161"/>
      <c r="EB98" s="162"/>
      <c r="EC98" s="105"/>
      <c r="ED98" s="106"/>
      <c r="EE98" s="107"/>
      <c r="EF98" s="108"/>
      <c r="EG98" s="105"/>
      <c r="EH98" s="106"/>
      <c r="EI98" s="107"/>
      <c r="EJ98" s="108"/>
      <c r="EK98" s="153">
        <f t="shared" si="648"/>
        <v>0</v>
      </c>
      <c r="EL98" s="153">
        <f t="shared" si="649"/>
        <v>0</v>
      </c>
      <c r="EM98" s="105"/>
      <c r="EN98" s="106"/>
      <c r="EO98" s="107"/>
      <c r="EP98" s="108"/>
      <c r="EQ98" s="105"/>
      <c r="ER98" s="106"/>
      <c r="ES98" s="107"/>
      <c r="ET98" s="108"/>
    </row>
    <row r="99" spans="1:150" s="4" customFormat="1" ht="21.65" customHeight="1" x14ac:dyDescent="0.25">
      <c r="A99" s="704" t="s">
        <v>26</v>
      </c>
      <c r="B99" s="702" t="s">
        <v>42</v>
      </c>
      <c r="C99" s="48" t="s">
        <v>71</v>
      </c>
      <c r="D99" s="93" t="s">
        <v>37</v>
      </c>
      <c r="E99" s="105">
        <f>SUM(F99,H99)</f>
        <v>336.46</v>
      </c>
      <c r="F99" s="106">
        <f>328+7.46</f>
        <v>335.46</v>
      </c>
      <c r="G99" s="107">
        <f>266.4+7.36-3.1</f>
        <v>270.65999999999997</v>
      </c>
      <c r="H99" s="108">
        <v>1</v>
      </c>
      <c r="I99" s="105">
        <f>SUM(J99,L99)</f>
        <v>0</v>
      </c>
      <c r="J99" s="106"/>
      <c r="K99" s="107"/>
      <c r="L99" s="108"/>
      <c r="M99" s="105">
        <f>SUM(N99,P99)</f>
        <v>0</v>
      </c>
      <c r="N99" s="106"/>
      <c r="O99" s="107"/>
      <c r="P99" s="108"/>
      <c r="Q99" s="105">
        <f>SUM(R99,T99)</f>
        <v>0</v>
      </c>
      <c r="R99" s="106"/>
      <c r="S99" s="107"/>
      <c r="T99" s="108"/>
      <c r="U99" s="105">
        <f t="shared" ref="U99" si="925">SUM(V99,X99)</f>
        <v>336.46</v>
      </c>
      <c r="V99" s="106">
        <f t="shared" ref="V99" si="926">F99+N99</f>
        <v>335.46</v>
      </c>
      <c r="W99" s="107">
        <f t="shared" ref="W99" si="927">G99+O99</f>
        <v>270.65999999999997</v>
      </c>
      <c r="X99" s="108">
        <f t="shared" ref="X99" si="928">H99+P99</f>
        <v>1</v>
      </c>
      <c r="Y99" s="105">
        <f t="shared" ref="Y99" si="929">SUM(Z99,AB99)</f>
        <v>0</v>
      </c>
      <c r="Z99" s="106">
        <f t="shared" ref="Z99" si="930">J99+R99</f>
        <v>0</v>
      </c>
      <c r="AA99" s="107">
        <f t="shared" ref="AA99" si="931">K99+S99</f>
        <v>0</v>
      </c>
      <c r="AB99" s="108">
        <f t="shared" ref="AB99" si="932">L99+T99</f>
        <v>0</v>
      </c>
      <c r="AC99" s="105">
        <f>SUM(AD99,AF99)</f>
        <v>0.23799999999999999</v>
      </c>
      <c r="AD99" s="106">
        <v>0.23799999999999999</v>
      </c>
      <c r="AE99" s="107"/>
      <c r="AF99" s="108"/>
      <c r="AG99" s="105">
        <f>SUM(AH99,AJ99)</f>
        <v>0</v>
      </c>
      <c r="AH99" s="106"/>
      <c r="AI99" s="107"/>
      <c r="AJ99" s="108"/>
      <c r="AK99" s="105">
        <f t="shared" ref="AK99:AK102" si="933">SUM(AL99,AN99)</f>
        <v>336.69799999999998</v>
      </c>
      <c r="AL99" s="106">
        <f t="shared" ref="AL99:AL102" si="934">V99+AD99</f>
        <v>335.69799999999998</v>
      </c>
      <c r="AM99" s="107">
        <f t="shared" ref="AM99:AM102" si="935">W99+AE99</f>
        <v>270.65999999999997</v>
      </c>
      <c r="AN99" s="108">
        <f t="shared" ref="AN99:AN102" si="936">X99+AF99</f>
        <v>1</v>
      </c>
      <c r="AO99" s="105">
        <f t="shared" ref="AO99:AO102" si="937">SUM(AP99,AR99)</f>
        <v>0</v>
      </c>
      <c r="AP99" s="106">
        <f t="shared" ref="AP99:AP102" si="938">Z99+AH99</f>
        <v>0</v>
      </c>
      <c r="AQ99" s="107">
        <f t="shared" ref="AQ99:AQ102" si="939">AA99+AI99</f>
        <v>0</v>
      </c>
      <c r="AR99" s="108">
        <f t="shared" ref="AR99:AR102" si="940">AB99+AJ99</f>
        <v>0</v>
      </c>
      <c r="AS99" s="105">
        <f>SUM(AT99,AV99)</f>
        <v>-0.24299999999999999</v>
      </c>
      <c r="AT99" s="106">
        <v>-0.24299999999999999</v>
      </c>
      <c r="AU99" s="107">
        <v>-0.23899999999999999</v>
      </c>
      <c r="AV99" s="108"/>
      <c r="AW99" s="105">
        <f>SUM(AX99,AZ99)</f>
        <v>0</v>
      </c>
      <c r="AX99" s="106"/>
      <c r="AY99" s="107"/>
      <c r="AZ99" s="108"/>
      <c r="BA99" s="105">
        <f t="shared" ref="BA99:BA102" si="941">SUM(BB99,BD99)</f>
        <v>336.45499999999998</v>
      </c>
      <c r="BB99" s="106">
        <f t="shared" ref="BB99:BB102" si="942">AL99+AT99</f>
        <v>335.45499999999998</v>
      </c>
      <c r="BC99" s="107">
        <f t="shared" ref="BC99:BC102" si="943">AM99+AU99</f>
        <v>270.42099999999999</v>
      </c>
      <c r="BD99" s="108">
        <f t="shared" ref="BD99:BD102" si="944">AN99+AV99</f>
        <v>1</v>
      </c>
      <c r="BE99" s="105">
        <f t="shared" ref="BE99:BE102" si="945">SUM(BF99,BH99)</f>
        <v>0</v>
      </c>
      <c r="BF99" s="106">
        <f t="shared" ref="BF99:BF102" si="946">AP99+AX99</f>
        <v>0</v>
      </c>
      <c r="BG99" s="107">
        <f t="shared" ref="BG99:BG102" si="947">AQ99+AY99</f>
        <v>0</v>
      </c>
      <c r="BH99" s="108">
        <f t="shared" ref="BH99:BH102" si="948">AR99+AZ99</f>
        <v>0</v>
      </c>
      <c r="BI99" s="105">
        <f>SUM(BJ99,BL99)</f>
        <v>0</v>
      </c>
      <c r="BJ99" s="106"/>
      <c r="BK99" s="107"/>
      <c r="BL99" s="108"/>
      <c r="BM99" s="105">
        <f>SUM(BN99,BP99)</f>
        <v>0</v>
      </c>
      <c r="BN99" s="106"/>
      <c r="BO99" s="107"/>
      <c r="BP99" s="108"/>
      <c r="BQ99" s="105">
        <f t="shared" ref="BQ99:BQ102" si="949">SUM(BR99,BT99)</f>
        <v>336.45499999999998</v>
      </c>
      <c r="BR99" s="106">
        <f t="shared" ref="BR99:BR102" si="950">BB99+BJ99</f>
        <v>335.45499999999998</v>
      </c>
      <c r="BS99" s="107">
        <f t="shared" ref="BS99:BS102" si="951">BC99+BK99</f>
        <v>270.42099999999999</v>
      </c>
      <c r="BT99" s="108">
        <f t="shared" ref="BT99:BT102" si="952">BD99+BL99</f>
        <v>1</v>
      </c>
      <c r="BU99" s="105">
        <f t="shared" ref="BU99:BU102" si="953">SUM(BV99,BX99)</f>
        <v>0</v>
      </c>
      <c r="BV99" s="106">
        <f t="shared" ref="BV99:BV102" si="954">BF99+BN99</f>
        <v>0</v>
      </c>
      <c r="BW99" s="107">
        <f t="shared" ref="BW99:BW102" si="955">BG99+BO99</f>
        <v>0</v>
      </c>
      <c r="BX99" s="108">
        <f t="shared" ref="BX99:BX102" si="956">BH99+BP99</f>
        <v>0</v>
      </c>
      <c r="BY99" s="164">
        <f>SUM(BZ99,CB99)</f>
        <v>0</v>
      </c>
      <c r="BZ99" s="147"/>
      <c r="CA99" s="161"/>
      <c r="CB99" s="162"/>
      <c r="CC99" s="164">
        <f>SUM(CD99,CF99)</f>
        <v>0</v>
      </c>
      <c r="CD99" s="147"/>
      <c r="CE99" s="161"/>
      <c r="CF99" s="162"/>
      <c r="CG99" s="105">
        <f t="shared" ref="CG99:CG102" si="957">SUM(CH99,CJ99)</f>
        <v>336.45499999999998</v>
      </c>
      <c r="CH99" s="106">
        <f t="shared" ref="CH99:CH102" si="958">BR99+BZ99</f>
        <v>335.45499999999998</v>
      </c>
      <c r="CI99" s="107">
        <f t="shared" ref="CI99:CI102" si="959">BS99+CA99</f>
        <v>270.42099999999999</v>
      </c>
      <c r="CJ99" s="108">
        <f t="shared" ref="CJ99:CJ102" si="960">BT99+CB99</f>
        <v>1</v>
      </c>
      <c r="CK99" s="105">
        <f t="shared" ref="CK99:CK102" si="961">SUM(CL99,CN99)</f>
        <v>0</v>
      </c>
      <c r="CL99" s="106">
        <f t="shared" ref="CL99:CL102" si="962">BV99+CD99</f>
        <v>0</v>
      </c>
      <c r="CM99" s="107">
        <f t="shared" ref="CM99:CM102" si="963">BW99+CE99</f>
        <v>0</v>
      </c>
      <c r="CN99" s="108">
        <f t="shared" ref="CN99:CN102" si="964">BX99+CF99</f>
        <v>0</v>
      </c>
      <c r="CO99" s="164">
        <f>SUM(CP99,CR99)</f>
        <v>0</v>
      </c>
      <c r="CP99" s="147"/>
      <c r="CQ99" s="161"/>
      <c r="CR99" s="162"/>
      <c r="CS99" s="164">
        <f>SUM(CT99,CV99)</f>
        <v>0</v>
      </c>
      <c r="CT99" s="147"/>
      <c r="CU99" s="161"/>
      <c r="CV99" s="162"/>
      <c r="CW99" s="105">
        <f t="shared" ref="CW99:CW102" si="965">SUM(CX99,CZ99)</f>
        <v>336.45499999999998</v>
      </c>
      <c r="CX99" s="106">
        <f t="shared" ref="CX99:CX102" si="966">CH99+CP99</f>
        <v>335.45499999999998</v>
      </c>
      <c r="CY99" s="107">
        <f t="shared" ref="CY99:CY102" si="967">CI99+CQ99</f>
        <v>270.42099999999999</v>
      </c>
      <c r="CZ99" s="108">
        <f t="shared" ref="CZ99:CZ102" si="968">CJ99+CR99</f>
        <v>1</v>
      </c>
      <c r="DA99" s="105">
        <f t="shared" ref="DA99:DA102" si="969">SUM(DB99,DD99)</f>
        <v>0</v>
      </c>
      <c r="DB99" s="106">
        <f t="shared" ref="DB99:DB102" si="970">CL99+CT99</f>
        <v>0</v>
      </c>
      <c r="DC99" s="107">
        <f t="shared" ref="DC99:DC102" si="971">CM99+CU99</f>
        <v>0</v>
      </c>
      <c r="DD99" s="108">
        <f t="shared" ref="DD99:DD102" si="972">CN99+CV99</f>
        <v>0</v>
      </c>
      <c r="DE99" s="164">
        <f>SUM(DF99,DH99)</f>
        <v>1.92</v>
      </c>
      <c r="DF99" s="147">
        <f>1.95-0.03</f>
        <v>1.92</v>
      </c>
      <c r="DG99" s="161">
        <v>-0.03</v>
      </c>
      <c r="DH99" s="162"/>
      <c r="DI99" s="164">
        <f>SUM(DJ99,DL99)</f>
        <v>0</v>
      </c>
      <c r="DJ99" s="147"/>
      <c r="DK99" s="161"/>
      <c r="DL99" s="162"/>
      <c r="DM99" s="105">
        <f t="shared" ref="DM99:DM103" si="973">SUM(DN99,DP99)</f>
        <v>338.375</v>
      </c>
      <c r="DN99" s="106">
        <f t="shared" ref="DN99:DN103" si="974">CX99+DF99</f>
        <v>337.375</v>
      </c>
      <c r="DO99" s="107">
        <f t="shared" ref="DO99:DO103" si="975">CY99+DG99</f>
        <v>270.39100000000002</v>
      </c>
      <c r="DP99" s="108">
        <f t="shared" ref="DP99:DP103" si="976">CZ99+DH99</f>
        <v>1</v>
      </c>
      <c r="DQ99" s="105">
        <f t="shared" ref="DQ99:DQ102" si="977">SUM(DR99,DT99)</f>
        <v>0</v>
      </c>
      <c r="DR99" s="106">
        <f t="shared" ref="DR99:DR102" si="978">DB99+DJ99</f>
        <v>0</v>
      </c>
      <c r="DS99" s="107">
        <f t="shared" ref="DS99:DS102" si="979">DC99+DK99</f>
        <v>0</v>
      </c>
      <c r="DT99" s="108">
        <f t="shared" ref="DT99:DT102" si="980">DD99+DL99</f>
        <v>0</v>
      </c>
      <c r="DU99" s="164">
        <f>SUM(DV99,DX99)</f>
        <v>0</v>
      </c>
      <c r="DV99" s="147"/>
      <c r="DW99" s="161">
        <v>-0.77200000000000002</v>
      </c>
      <c r="DX99" s="162"/>
      <c r="DY99" s="164">
        <f>SUM(DZ99,EB99)</f>
        <v>0</v>
      </c>
      <c r="DZ99" s="147"/>
      <c r="EA99" s="161"/>
      <c r="EB99" s="162"/>
      <c r="EC99" s="105">
        <f t="shared" ref="EC99:EC103" si="981">SUM(ED99,EF99)</f>
        <v>338.375</v>
      </c>
      <c r="ED99" s="106">
        <f t="shared" ref="ED99:ED103" si="982">DN99+DV99</f>
        <v>337.375</v>
      </c>
      <c r="EE99" s="107">
        <f t="shared" ref="EE99:EE103" si="983">DO99+DW99</f>
        <v>269.61900000000003</v>
      </c>
      <c r="EF99" s="108">
        <f t="shared" ref="EF99:EF103" si="984">DP99+DX99</f>
        <v>1</v>
      </c>
      <c r="EG99" s="105">
        <f t="shared" ref="EG99:EG102" si="985">SUM(EH99,EJ99)</f>
        <v>0</v>
      </c>
      <c r="EH99" s="106">
        <f t="shared" ref="EH99:EH102" si="986">DR99+DZ99</f>
        <v>0</v>
      </c>
      <c r="EI99" s="107">
        <f t="shared" ref="EI99:EI102" si="987">DS99+EA99</f>
        <v>0</v>
      </c>
      <c r="EJ99" s="108">
        <f t="shared" ref="EJ99:EJ102" si="988">DT99+EB99</f>
        <v>0</v>
      </c>
      <c r="EK99" s="163">
        <f t="shared" si="648"/>
        <v>31.050000000000011</v>
      </c>
      <c r="EL99" s="163">
        <f t="shared" si="649"/>
        <v>29.134999999999991</v>
      </c>
      <c r="EM99" s="105">
        <f>SUM(EN99,EP99)</f>
        <v>367.51</v>
      </c>
      <c r="EN99" s="106">
        <f>ER99+359.01</f>
        <v>367.51</v>
      </c>
      <c r="EO99" s="107">
        <f>ES99+293.1-3.9</f>
        <v>297.58000000000004</v>
      </c>
      <c r="EP99" s="108"/>
      <c r="EQ99" s="105">
        <f>SUM(ER99,ET99)</f>
        <v>8.5</v>
      </c>
      <c r="ER99" s="106">
        <v>8.5</v>
      </c>
      <c r="ES99" s="107">
        <v>8.3800000000000008</v>
      </c>
      <c r="ET99" s="108"/>
    </row>
    <row r="100" spans="1:150" s="4" customFormat="1" ht="21.65" customHeight="1" x14ac:dyDescent="0.25">
      <c r="A100" s="716"/>
      <c r="B100" s="719"/>
      <c r="C100" s="48" t="s">
        <v>72</v>
      </c>
      <c r="D100" s="139" t="s">
        <v>52</v>
      </c>
      <c r="E100" s="105">
        <f>SUM(F100,H100)</f>
        <v>74.962000000000003</v>
      </c>
      <c r="F100" s="106">
        <f>70.15+J100</f>
        <v>71.962000000000003</v>
      </c>
      <c r="G100" s="107"/>
      <c r="H100" s="108">
        <v>3</v>
      </c>
      <c r="I100" s="105">
        <f>SUM(J100,L100)</f>
        <v>1.8120000000000001</v>
      </c>
      <c r="J100" s="106">
        <v>1.8120000000000001</v>
      </c>
      <c r="K100" s="107"/>
      <c r="L100" s="108"/>
      <c r="M100" s="105">
        <f>SUM(N100,P100)</f>
        <v>0</v>
      </c>
      <c r="N100" s="106"/>
      <c r="O100" s="107"/>
      <c r="P100" s="108"/>
      <c r="Q100" s="105">
        <f>SUM(R100,T100)</f>
        <v>0</v>
      </c>
      <c r="R100" s="106"/>
      <c r="S100" s="107"/>
      <c r="T100" s="108"/>
      <c r="U100" s="105">
        <f t="shared" ref="U100:U102" si="989">SUM(V100,X100)</f>
        <v>74.962000000000003</v>
      </c>
      <c r="V100" s="106">
        <f t="shared" ref="V100:V102" si="990">F100+N100</f>
        <v>71.962000000000003</v>
      </c>
      <c r="W100" s="107">
        <f t="shared" ref="W100:W102" si="991">G100+O100</f>
        <v>0</v>
      </c>
      <c r="X100" s="108">
        <f t="shared" ref="X100:X102" si="992">H100+P100</f>
        <v>3</v>
      </c>
      <c r="Y100" s="105">
        <f t="shared" ref="Y100:Y102" si="993">SUM(Z100,AB100)</f>
        <v>1.8120000000000001</v>
      </c>
      <c r="Z100" s="106">
        <f t="shared" ref="Z100:Z102" si="994">J100+R100</f>
        <v>1.8120000000000001</v>
      </c>
      <c r="AA100" s="107">
        <f t="shared" ref="AA100:AA102" si="995">K100+S100</f>
        <v>0</v>
      </c>
      <c r="AB100" s="108">
        <f t="shared" ref="AB100:AB102" si="996">L100+T100</f>
        <v>0</v>
      </c>
      <c r="AC100" s="105">
        <f>SUM(AD100,AF100)</f>
        <v>0</v>
      </c>
      <c r="AD100" s="106"/>
      <c r="AE100" s="107"/>
      <c r="AF100" s="108"/>
      <c r="AG100" s="105">
        <f>SUM(AH100,AJ100)</f>
        <v>0</v>
      </c>
      <c r="AH100" s="106"/>
      <c r="AI100" s="107"/>
      <c r="AJ100" s="108"/>
      <c r="AK100" s="105">
        <f t="shared" si="933"/>
        <v>74.962000000000003</v>
      </c>
      <c r="AL100" s="106">
        <f t="shared" si="934"/>
        <v>71.962000000000003</v>
      </c>
      <c r="AM100" s="107">
        <f t="shared" si="935"/>
        <v>0</v>
      </c>
      <c r="AN100" s="108">
        <f t="shared" si="936"/>
        <v>3</v>
      </c>
      <c r="AO100" s="105">
        <f t="shared" si="937"/>
        <v>1.8120000000000001</v>
      </c>
      <c r="AP100" s="106">
        <f t="shared" si="938"/>
        <v>1.8120000000000001</v>
      </c>
      <c r="AQ100" s="107">
        <f t="shared" si="939"/>
        <v>0</v>
      </c>
      <c r="AR100" s="108">
        <f t="shared" si="940"/>
        <v>0</v>
      </c>
      <c r="AS100" s="105">
        <f>SUM(AT100,AV100)</f>
        <v>0</v>
      </c>
      <c r="AT100" s="106"/>
      <c r="AU100" s="107"/>
      <c r="AV100" s="108"/>
      <c r="AW100" s="105">
        <f>SUM(AX100,AZ100)</f>
        <v>0</v>
      </c>
      <c r="AX100" s="106"/>
      <c r="AY100" s="107"/>
      <c r="AZ100" s="108"/>
      <c r="BA100" s="105">
        <f t="shared" si="941"/>
        <v>74.962000000000003</v>
      </c>
      <c r="BB100" s="106">
        <f t="shared" si="942"/>
        <v>71.962000000000003</v>
      </c>
      <c r="BC100" s="107">
        <f t="shared" si="943"/>
        <v>0</v>
      </c>
      <c r="BD100" s="108">
        <f t="shared" si="944"/>
        <v>3</v>
      </c>
      <c r="BE100" s="105">
        <f t="shared" si="945"/>
        <v>1.8120000000000001</v>
      </c>
      <c r="BF100" s="106">
        <f t="shared" si="946"/>
        <v>1.8120000000000001</v>
      </c>
      <c r="BG100" s="107">
        <f t="shared" si="947"/>
        <v>0</v>
      </c>
      <c r="BH100" s="108">
        <f t="shared" si="948"/>
        <v>0</v>
      </c>
      <c r="BI100" s="105">
        <f>SUM(BJ100,BL100)</f>
        <v>0</v>
      </c>
      <c r="BJ100" s="106"/>
      <c r="BK100" s="107"/>
      <c r="BL100" s="108"/>
      <c r="BM100" s="105">
        <f>SUM(BN100,BP100)</f>
        <v>0</v>
      </c>
      <c r="BN100" s="106"/>
      <c r="BO100" s="107"/>
      <c r="BP100" s="108"/>
      <c r="BQ100" s="105">
        <f t="shared" si="949"/>
        <v>74.962000000000003</v>
      </c>
      <c r="BR100" s="106">
        <f t="shared" si="950"/>
        <v>71.962000000000003</v>
      </c>
      <c r="BS100" s="107">
        <f t="shared" si="951"/>
        <v>0</v>
      </c>
      <c r="BT100" s="108">
        <f t="shared" si="952"/>
        <v>3</v>
      </c>
      <c r="BU100" s="105">
        <f t="shared" si="953"/>
        <v>1.8120000000000001</v>
      </c>
      <c r="BV100" s="106">
        <f t="shared" si="954"/>
        <v>1.8120000000000001</v>
      </c>
      <c r="BW100" s="107">
        <f t="shared" si="955"/>
        <v>0</v>
      </c>
      <c r="BX100" s="108">
        <f t="shared" si="956"/>
        <v>0</v>
      </c>
      <c r="BY100" s="164">
        <f>SUM(BZ100,CB100)</f>
        <v>0</v>
      </c>
      <c r="BZ100" s="147"/>
      <c r="CA100" s="161"/>
      <c r="CB100" s="162"/>
      <c r="CC100" s="164">
        <f>SUM(CD100,CF100)</f>
        <v>0</v>
      </c>
      <c r="CD100" s="147"/>
      <c r="CE100" s="161"/>
      <c r="CF100" s="162"/>
      <c r="CG100" s="105">
        <f t="shared" si="957"/>
        <v>74.962000000000003</v>
      </c>
      <c r="CH100" s="106">
        <f t="shared" si="958"/>
        <v>71.962000000000003</v>
      </c>
      <c r="CI100" s="107">
        <f t="shared" si="959"/>
        <v>0</v>
      </c>
      <c r="CJ100" s="108">
        <f t="shared" si="960"/>
        <v>3</v>
      </c>
      <c r="CK100" s="105">
        <f t="shared" si="961"/>
        <v>1.8120000000000001</v>
      </c>
      <c r="CL100" s="106">
        <f t="shared" si="962"/>
        <v>1.8120000000000001</v>
      </c>
      <c r="CM100" s="107">
        <f t="shared" si="963"/>
        <v>0</v>
      </c>
      <c r="CN100" s="108">
        <f t="shared" si="964"/>
        <v>0</v>
      </c>
      <c r="CO100" s="164">
        <f>SUM(CP100,CR100)</f>
        <v>-3.2530000000000001</v>
      </c>
      <c r="CP100" s="147">
        <v>-0.253</v>
      </c>
      <c r="CQ100" s="161"/>
      <c r="CR100" s="162">
        <v>-3</v>
      </c>
      <c r="CS100" s="164">
        <f>SUM(CT100,CV100)</f>
        <v>0</v>
      </c>
      <c r="CT100" s="147"/>
      <c r="CU100" s="161"/>
      <c r="CV100" s="162"/>
      <c r="CW100" s="105">
        <f t="shared" si="965"/>
        <v>71.709000000000003</v>
      </c>
      <c r="CX100" s="106">
        <f t="shared" si="966"/>
        <v>71.709000000000003</v>
      </c>
      <c r="CY100" s="107">
        <f t="shared" si="967"/>
        <v>0</v>
      </c>
      <c r="CZ100" s="108">
        <f t="shared" si="968"/>
        <v>0</v>
      </c>
      <c r="DA100" s="105">
        <f t="shared" si="969"/>
        <v>1.8120000000000001</v>
      </c>
      <c r="DB100" s="106">
        <f t="shared" si="970"/>
        <v>1.8120000000000001</v>
      </c>
      <c r="DC100" s="107">
        <f t="shared" si="971"/>
        <v>0</v>
      </c>
      <c r="DD100" s="108">
        <f t="shared" si="972"/>
        <v>0</v>
      </c>
      <c r="DE100" s="164">
        <f>SUM(DF100,DH100)</f>
        <v>0</v>
      </c>
      <c r="DF100" s="147"/>
      <c r="DG100" s="161"/>
      <c r="DH100" s="162"/>
      <c r="DI100" s="164">
        <f>SUM(DJ100,DL100)</f>
        <v>0</v>
      </c>
      <c r="DJ100" s="147"/>
      <c r="DK100" s="161"/>
      <c r="DL100" s="162"/>
      <c r="DM100" s="105">
        <f t="shared" si="973"/>
        <v>71.709000000000003</v>
      </c>
      <c r="DN100" s="106">
        <f t="shared" si="974"/>
        <v>71.709000000000003</v>
      </c>
      <c r="DO100" s="107">
        <f t="shared" si="975"/>
        <v>0</v>
      </c>
      <c r="DP100" s="108">
        <f t="shared" si="976"/>
        <v>0</v>
      </c>
      <c r="DQ100" s="105">
        <f t="shared" si="977"/>
        <v>1.8120000000000001</v>
      </c>
      <c r="DR100" s="106">
        <f t="shared" si="978"/>
        <v>1.8120000000000001</v>
      </c>
      <c r="DS100" s="107">
        <f t="shared" si="979"/>
        <v>0</v>
      </c>
      <c r="DT100" s="108">
        <f t="shared" si="980"/>
        <v>0</v>
      </c>
      <c r="DU100" s="164">
        <f>SUM(DV100,DX100)</f>
        <v>-8.91</v>
      </c>
      <c r="DV100" s="147">
        <f>-9+0.09</f>
        <v>-8.91</v>
      </c>
      <c r="DW100" s="161"/>
      <c r="DX100" s="162"/>
      <c r="DY100" s="164">
        <f>SUM(DZ100,EB100)</f>
        <v>0</v>
      </c>
      <c r="DZ100" s="147"/>
      <c r="EA100" s="161"/>
      <c r="EB100" s="162"/>
      <c r="EC100" s="105">
        <f t="shared" si="981"/>
        <v>62.799000000000007</v>
      </c>
      <c r="ED100" s="106">
        <f t="shared" si="982"/>
        <v>62.799000000000007</v>
      </c>
      <c r="EE100" s="107">
        <f t="shared" si="983"/>
        <v>0</v>
      </c>
      <c r="EF100" s="108">
        <f t="shared" si="984"/>
        <v>0</v>
      </c>
      <c r="EG100" s="105">
        <f t="shared" si="985"/>
        <v>1.8120000000000001</v>
      </c>
      <c r="EH100" s="106">
        <f t="shared" si="986"/>
        <v>1.8120000000000001</v>
      </c>
      <c r="EI100" s="107">
        <f t="shared" si="987"/>
        <v>0</v>
      </c>
      <c r="EJ100" s="108">
        <f t="shared" si="988"/>
        <v>0</v>
      </c>
      <c r="EK100" s="154">
        <f t="shared" si="648"/>
        <v>-9.8070000000000022</v>
      </c>
      <c r="EL100" s="163">
        <f t="shared" si="649"/>
        <v>2.3559999999999945</v>
      </c>
      <c r="EM100" s="105">
        <f>SUM(EN100,EP100)</f>
        <v>65.155000000000001</v>
      </c>
      <c r="EN100" s="106">
        <f>ER100+61.15</f>
        <v>62.155000000000001</v>
      </c>
      <c r="EO100" s="107"/>
      <c r="EP100" s="108">
        <v>3</v>
      </c>
      <c r="EQ100" s="105">
        <f>SUM(ER100,ET100)</f>
        <v>1.0049999999999999</v>
      </c>
      <c r="ER100" s="106">
        <v>1.0049999999999999</v>
      </c>
      <c r="ES100" s="107"/>
      <c r="ET100" s="108"/>
    </row>
    <row r="101" spans="1:150" s="4" customFormat="1" ht="21.65" customHeight="1" x14ac:dyDescent="0.25">
      <c r="A101" s="42" t="s">
        <v>33</v>
      </c>
      <c r="B101" s="103" t="s">
        <v>47</v>
      </c>
      <c r="C101" s="48" t="s">
        <v>150</v>
      </c>
      <c r="D101" s="139" t="s">
        <v>37</v>
      </c>
      <c r="E101" s="105">
        <f>SUM(F101,H101)</f>
        <v>1.4</v>
      </c>
      <c r="F101" s="106">
        <v>1.4</v>
      </c>
      <c r="G101" s="107"/>
      <c r="H101" s="108"/>
      <c r="I101" s="105">
        <f>SUM(J101,L101)</f>
        <v>0</v>
      </c>
      <c r="J101" s="106"/>
      <c r="K101" s="107"/>
      <c r="L101" s="108"/>
      <c r="M101" s="105">
        <f>SUM(N101,P101)</f>
        <v>0</v>
      </c>
      <c r="N101" s="106"/>
      <c r="O101" s="107"/>
      <c r="P101" s="108"/>
      <c r="Q101" s="105">
        <f>SUM(R101,T101)</f>
        <v>0</v>
      </c>
      <c r="R101" s="106"/>
      <c r="S101" s="107"/>
      <c r="T101" s="108"/>
      <c r="U101" s="105">
        <f t="shared" si="989"/>
        <v>1.4</v>
      </c>
      <c r="V101" s="106">
        <f t="shared" si="990"/>
        <v>1.4</v>
      </c>
      <c r="W101" s="107">
        <f t="shared" si="991"/>
        <v>0</v>
      </c>
      <c r="X101" s="108">
        <f t="shared" si="992"/>
        <v>0</v>
      </c>
      <c r="Y101" s="105">
        <f t="shared" si="993"/>
        <v>0</v>
      </c>
      <c r="Z101" s="106">
        <f t="shared" si="994"/>
        <v>0</v>
      </c>
      <c r="AA101" s="107">
        <f t="shared" si="995"/>
        <v>0</v>
      </c>
      <c r="AB101" s="108">
        <f t="shared" si="996"/>
        <v>0</v>
      </c>
      <c r="AC101" s="105">
        <f>SUM(AD101,AF101)</f>
        <v>0</v>
      </c>
      <c r="AD101" s="106"/>
      <c r="AE101" s="107"/>
      <c r="AF101" s="108"/>
      <c r="AG101" s="105">
        <f>SUM(AH101,AJ101)</f>
        <v>0</v>
      </c>
      <c r="AH101" s="106"/>
      <c r="AI101" s="107"/>
      <c r="AJ101" s="108"/>
      <c r="AK101" s="105">
        <f t="shared" si="933"/>
        <v>1.4</v>
      </c>
      <c r="AL101" s="106">
        <f t="shared" si="934"/>
        <v>1.4</v>
      </c>
      <c r="AM101" s="107">
        <f t="shared" si="935"/>
        <v>0</v>
      </c>
      <c r="AN101" s="108">
        <f t="shared" si="936"/>
        <v>0</v>
      </c>
      <c r="AO101" s="105">
        <f t="shared" si="937"/>
        <v>0</v>
      </c>
      <c r="AP101" s="106">
        <f t="shared" si="938"/>
        <v>0</v>
      </c>
      <c r="AQ101" s="107">
        <f t="shared" si="939"/>
        <v>0</v>
      </c>
      <c r="AR101" s="108">
        <f t="shared" si="940"/>
        <v>0</v>
      </c>
      <c r="AS101" s="105">
        <f>SUM(AT101,AV101)</f>
        <v>0</v>
      </c>
      <c r="AT101" s="106"/>
      <c r="AU101" s="107"/>
      <c r="AV101" s="108"/>
      <c r="AW101" s="105">
        <f>SUM(AX101,AZ101)</f>
        <v>0</v>
      </c>
      <c r="AX101" s="106"/>
      <c r="AY101" s="107"/>
      <c r="AZ101" s="108"/>
      <c r="BA101" s="105">
        <f t="shared" si="941"/>
        <v>1.4</v>
      </c>
      <c r="BB101" s="106">
        <f t="shared" si="942"/>
        <v>1.4</v>
      </c>
      <c r="BC101" s="107">
        <f t="shared" si="943"/>
        <v>0</v>
      </c>
      <c r="BD101" s="108">
        <f t="shared" si="944"/>
        <v>0</v>
      </c>
      <c r="BE101" s="105">
        <f t="shared" si="945"/>
        <v>0</v>
      </c>
      <c r="BF101" s="106">
        <f t="shared" si="946"/>
        <v>0</v>
      </c>
      <c r="BG101" s="107">
        <f t="shared" si="947"/>
        <v>0</v>
      </c>
      <c r="BH101" s="108">
        <f t="shared" si="948"/>
        <v>0</v>
      </c>
      <c r="BI101" s="105">
        <f>SUM(BJ101,BL101)</f>
        <v>0</v>
      </c>
      <c r="BJ101" s="106"/>
      <c r="BK101" s="107"/>
      <c r="BL101" s="108"/>
      <c r="BM101" s="105">
        <f>SUM(BN101,BP101)</f>
        <v>0</v>
      </c>
      <c r="BN101" s="106"/>
      <c r="BO101" s="107"/>
      <c r="BP101" s="108"/>
      <c r="BQ101" s="105">
        <f t="shared" si="949"/>
        <v>1.4</v>
      </c>
      <c r="BR101" s="106">
        <f t="shared" si="950"/>
        <v>1.4</v>
      </c>
      <c r="BS101" s="107">
        <f t="shared" si="951"/>
        <v>0</v>
      </c>
      <c r="BT101" s="108">
        <f t="shared" si="952"/>
        <v>0</v>
      </c>
      <c r="BU101" s="105">
        <f t="shared" si="953"/>
        <v>0</v>
      </c>
      <c r="BV101" s="106">
        <f t="shared" si="954"/>
        <v>0</v>
      </c>
      <c r="BW101" s="107">
        <f t="shared" si="955"/>
        <v>0</v>
      </c>
      <c r="BX101" s="108">
        <f t="shared" si="956"/>
        <v>0</v>
      </c>
      <c r="BY101" s="164">
        <f>SUM(BZ101,CB101)</f>
        <v>0</v>
      </c>
      <c r="BZ101" s="147"/>
      <c r="CA101" s="161"/>
      <c r="CB101" s="162"/>
      <c r="CC101" s="164">
        <f>SUM(CD101,CF101)</f>
        <v>0</v>
      </c>
      <c r="CD101" s="147"/>
      <c r="CE101" s="161"/>
      <c r="CF101" s="162"/>
      <c r="CG101" s="105">
        <f t="shared" si="957"/>
        <v>1.4</v>
      </c>
      <c r="CH101" s="106">
        <f t="shared" si="958"/>
        <v>1.4</v>
      </c>
      <c r="CI101" s="107">
        <f t="shared" si="959"/>
        <v>0</v>
      </c>
      <c r="CJ101" s="108">
        <f t="shared" si="960"/>
        <v>0</v>
      </c>
      <c r="CK101" s="105">
        <f t="shared" si="961"/>
        <v>0</v>
      </c>
      <c r="CL101" s="106">
        <f t="shared" si="962"/>
        <v>0</v>
      </c>
      <c r="CM101" s="107">
        <f t="shared" si="963"/>
        <v>0</v>
      </c>
      <c r="CN101" s="108">
        <f t="shared" si="964"/>
        <v>0</v>
      </c>
      <c r="CO101" s="164">
        <f t="shared" ref="CO101:CO103" si="997">SUM(CP101,CR101)</f>
        <v>0</v>
      </c>
      <c r="CP101" s="147"/>
      <c r="CQ101" s="161"/>
      <c r="CR101" s="162"/>
      <c r="CS101" s="164">
        <f>SUM(CT101,CV101)</f>
        <v>0</v>
      </c>
      <c r="CT101" s="147"/>
      <c r="CU101" s="161"/>
      <c r="CV101" s="162"/>
      <c r="CW101" s="105">
        <f t="shared" si="965"/>
        <v>1.4</v>
      </c>
      <c r="CX101" s="106">
        <f t="shared" si="966"/>
        <v>1.4</v>
      </c>
      <c r="CY101" s="107">
        <f t="shared" si="967"/>
        <v>0</v>
      </c>
      <c r="CZ101" s="108">
        <f t="shared" si="968"/>
        <v>0</v>
      </c>
      <c r="DA101" s="105">
        <f t="shared" si="969"/>
        <v>0</v>
      </c>
      <c r="DB101" s="106">
        <f t="shared" si="970"/>
        <v>0</v>
      </c>
      <c r="DC101" s="107">
        <f t="shared" si="971"/>
        <v>0</v>
      </c>
      <c r="DD101" s="108">
        <f t="shared" si="972"/>
        <v>0</v>
      </c>
      <c r="DE101" s="164">
        <f t="shared" ref="DE101:DE103" si="998">SUM(DF101,DH101)</f>
        <v>0</v>
      </c>
      <c r="DF101" s="147"/>
      <c r="DG101" s="161"/>
      <c r="DH101" s="162"/>
      <c r="DI101" s="164">
        <f>SUM(DJ101,DL101)</f>
        <v>0</v>
      </c>
      <c r="DJ101" s="147"/>
      <c r="DK101" s="161"/>
      <c r="DL101" s="162"/>
      <c r="DM101" s="105">
        <f t="shared" si="973"/>
        <v>1.4</v>
      </c>
      <c r="DN101" s="106">
        <f t="shared" si="974"/>
        <v>1.4</v>
      </c>
      <c r="DO101" s="107">
        <f t="shared" si="975"/>
        <v>0</v>
      </c>
      <c r="DP101" s="108">
        <f t="shared" si="976"/>
        <v>0</v>
      </c>
      <c r="DQ101" s="105">
        <f t="shared" si="977"/>
        <v>0</v>
      </c>
      <c r="DR101" s="106">
        <f t="shared" si="978"/>
        <v>0</v>
      </c>
      <c r="DS101" s="107">
        <f t="shared" si="979"/>
        <v>0</v>
      </c>
      <c r="DT101" s="108">
        <f t="shared" si="980"/>
        <v>0</v>
      </c>
      <c r="DU101" s="164">
        <f t="shared" ref="DU101:DU103" si="999">SUM(DV101,DX101)</f>
        <v>0</v>
      </c>
      <c r="DV101" s="147"/>
      <c r="DW101" s="161"/>
      <c r="DX101" s="162"/>
      <c r="DY101" s="164">
        <f>SUM(DZ101,EB101)</f>
        <v>0</v>
      </c>
      <c r="DZ101" s="147"/>
      <c r="EA101" s="161"/>
      <c r="EB101" s="162"/>
      <c r="EC101" s="105">
        <f t="shared" si="981"/>
        <v>1.4</v>
      </c>
      <c r="ED101" s="106">
        <f t="shared" si="982"/>
        <v>1.4</v>
      </c>
      <c r="EE101" s="107">
        <f t="shared" si="983"/>
        <v>0</v>
      </c>
      <c r="EF101" s="108">
        <f t="shared" si="984"/>
        <v>0</v>
      </c>
      <c r="EG101" s="105">
        <f t="shared" si="985"/>
        <v>0</v>
      </c>
      <c r="EH101" s="106">
        <f t="shared" si="986"/>
        <v>0</v>
      </c>
      <c r="EI101" s="107">
        <f t="shared" si="987"/>
        <v>0</v>
      </c>
      <c r="EJ101" s="108">
        <f t="shared" si="988"/>
        <v>0</v>
      </c>
      <c r="EK101" s="154">
        <f t="shared" si="648"/>
        <v>-0.16999999999999993</v>
      </c>
      <c r="EL101" s="154">
        <f t="shared" si="649"/>
        <v>-0.16999999999999993</v>
      </c>
      <c r="EM101" s="105">
        <f>SUM(EN101,EP101)</f>
        <v>1.23</v>
      </c>
      <c r="EN101" s="106">
        <v>1.23</v>
      </c>
      <c r="EO101" s="107"/>
      <c r="EP101" s="108"/>
      <c r="EQ101" s="105">
        <f>SUM(ER101,ET101)</f>
        <v>0</v>
      </c>
      <c r="ER101" s="106"/>
      <c r="ES101" s="107"/>
      <c r="ET101" s="108"/>
    </row>
    <row r="102" spans="1:150" s="4" customFormat="1" ht="21.65" customHeight="1" x14ac:dyDescent="0.25">
      <c r="A102" s="704" t="s">
        <v>7</v>
      </c>
      <c r="B102" s="702" t="s">
        <v>49</v>
      </c>
      <c r="C102" s="48" t="s">
        <v>180</v>
      </c>
      <c r="D102" s="139" t="s">
        <v>37</v>
      </c>
      <c r="E102" s="105">
        <f>SUM(F102,H102)</f>
        <v>8</v>
      </c>
      <c r="F102" s="106"/>
      <c r="G102" s="107"/>
      <c r="H102" s="108">
        <v>8</v>
      </c>
      <c r="I102" s="105">
        <f>SUM(J102,L102)</f>
        <v>0</v>
      </c>
      <c r="J102" s="106"/>
      <c r="K102" s="107"/>
      <c r="L102" s="108"/>
      <c r="M102" s="105">
        <f>SUM(N102,P102)</f>
        <v>0</v>
      </c>
      <c r="N102" s="106"/>
      <c r="O102" s="107"/>
      <c r="P102" s="108"/>
      <c r="Q102" s="105">
        <f>SUM(R102,T102)</f>
        <v>0</v>
      </c>
      <c r="R102" s="106"/>
      <c r="S102" s="107"/>
      <c r="T102" s="108"/>
      <c r="U102" s="105">
        <f t="shared" si="989"/>
        <v>8</v>
      </c>
      <c r="V102" s="106">
        <f t="shared" si="990"/>
        <v>0</v>
      </c>
      <c r="W102" s="107">
        <f t="shared" si="991"/>
        <v>0</v>
      </c>
      <c r="X102" s="108">
        <f t="shared" si="992"/>
        <v>8</v>
      </c>
      <c r="Y102" s="105">
        <f t="shared" si="993"/>
        <v>0</v>
      </c>
      <c r="Z102" s="106">
        <f t="shared" si="994"/>
        <v>0</v>
      </c>
      <c r="AA102" s="107">
        <f t="shared" si="995"/>
        <v>0</v>
      </c>
      <c r="AB102" s="108">
        <f t="shared" si="996"/>
        <v>0</v>
      </c>
      <c r="AC102" s="105">
        <f>SUM(AD102,AF102)</f>
        <v>0</v>
      </c>
      <c r="AD102" s="106"/>
      <c r="AE102" s="107"/>
      <c r="AF102" s="108"/>
      <c r="AG102" s="105">
        <f>SUM(AH102,AJ102)</f>
        <v>0</v>
      </c>
      <c r="AH102" s="106"/>
      <c r="AI102" s="107"/>
      <c r="AJ102" s="108"/>
      <c r="AK102" s="105">
        <f t="shared" si="933"/>
        <v>8</v>
      </c>
      <c r="AL102" s="106">
        <f t="shared" si="934"/>
        <v>0</v>
      </c>
      <c r="AM102" s="107">
        <f t="shared" si="935"/>
        <v>0</v>
      </c>
      <c r="AN102" s="108">
        <f t="shared" si="936"/>
        <v>8</v>
      </c>
      <c r="AO102" s="105">
        <f t="shared" si="937"/>
        <v>0</v>
      </c>
      <c r="AP102" s="106">
        <f t="shared" si="938"/>
        <v>0</v>
      </c>
      <c r="AQ102" s="107">
        <f t="shared" si="939"/>
        <v>0</v>
      </c>
      <c r="AR102" s="108">
        <f t="shared" si="940"/>
        <v>0</v>
      </c>
      <c r="AS102" s="105">
        <f>SUM(AT102,AV102)</f>
        <v>47.637</v>
      </c>
      <c r="AT102" s="106">
        <v>47.637</v>
      </c>
      <c r="AU102" s="107"/>
      <c r="AV102" s="108"/>
      <c r="AW102" s="105">
        <f>SUM(AX102,AZ102)</f>
        <v>0</v>
      </c>
      <c r="AX102" s="106"/>
      <c r="AY102" s="107"/>
      <c r="AZ102" s="108"/>
      <c r="BA102" s="105">
        <f t="shared" si="941"/>
        <v>55.637</v>
      </c>
      <c r="BB102" s="106">
        <f t="shared" si="942"/>
        <v>47.637</v>
      </c>
      <c r="BC102" s="107">
        <f t="shared" si="943"/>
        <v>0</v>
      </c>
      <c r="BD102" s="108">
        <f t="shared" si="944"/>
        <v>8</v>
      </c>
      <c r="BE102" s="105">
        <f t="shared" si="945"/>
        <v>0</v>
      </c>
      <c r="BF102" s="106">
        <f t="shared" si="946"/>
        <v>0</v>
      </c>
      <c r="BG102" s="107">
        <f t="shared" si="947"/>
        <v>0</v>
      </c>
      <c r="BH102" s="108">
        <f t="shared" si="948"/>
        <v>0</v>
      </c>
      <c r="BI102" s="105">
        <f>SUM(BJ102,BL102)</f>
        <v>0</v>
      </c>
      <c r="BJ102" s="106"/>
      <c r="BK102" s="107"/>
      <c r="BL102" s="108"/>
      <c r="BM102" s="105">
        <f>SUM(BN102,BP102)</f>
        <v>0</v>
      </c>
      <c r="BN102" s="106"/>
      <c r="BO102" s="107"/>
      <c r="BP102" s="108"/>
      <c r="BQ102" s="105">
        <f t="shared" si="949"/>
        <v>55.637</v>
      </c>
      <c r="BR102" s="106">
        <f t="shared" si="950"/>
        <v>47.637</v>
      </c>
      <c r="BS102" s="107">
        <f t="shared" si="951"/>
        <v>0</v>
      </c>
      <c r="BT102" s="108">
        <f t="shared" si="952"/>
        <v>8</v>
      </c>
      <c r="BU102" s="105">
        <f t="shared" si="953"/>
        <v>0</v>
      </c>
      <c r="BV102" s="106">
        <f t="shared" si="954"/>
        <v>0</v>
      </c>
      <c r="BW102" s="107">
        <f t="shared" si="955"/>
        <v>0</v>
      </c>
      <c r="BX102" s="108">
        <f t="shared" si="956"/>
        <v>0</v>
      </c>
      <c r="BY102" s="164">
        <f>SUM(BZ102,CB102)</f>
        <v>0</v>
      </c>
      <c r="BZ102" s="147"/>
      <c r="CA102" s="161"/>
      <c r="CB102" s="162"/>
      <c r="CC102" s="164">
        <f>SUM(CD102,CF102)</f>
        <v>0</v>
      </c>
      <c r="CD102" s="147"/>
      <c r="CE102" s="161"/>
      <c r="CF102" s="162"/>
      <c r="CG102" s="105">
        <f t="shared" si="957"/>
        <v>55.637</v>
      </c>
      <c r="CH102" s="106">
        <f t="shared" si="958"/>
        <v>47.637</v>
      </c>
      <c r="CI102" s="107">
        <f t="shared" si="959"/>
        <v>0</v>
      </c>
      <c r="CJ102" s="108">
        <f t="shared" si="960"/>
        <v>8</v>
      </c>
      <c r="CK102" s="105">
        <f t="shared" si="961"/>
        <v>0</v>
      </c>
      <c r="CL102" s="106">
        <f t="shared" si="962"/>
        <v>0</v>
      </c>
      <c r="CM102" s="107">
        <f t="shared" si="963"/>
        <v>0</v>
      </c>
      <c r="CN102" s="108">
        <f t="shared" si="964"/>
        <v>0</v>
      </c>
      <c r="CO102" s="164">
        <f t="shared" si="997"/>
        <v>0</v>
      </c>
      <c r="CP102" s="147"/>
      <c r="CQ102" s="161"/>
      <c r="CR102" s="162"/>
      <c r="CS102" s="164">
        <f>SUM(CT102,CV102)</f>
        <v>0</v>
      </c>
      <c r="CT102" s="147"/>
      <c r="CU102" s="161"/>
      <c r="CV102" s="162"/>
      <c r="CW102" s="105">
        <f t="shared" si="965"/>
        <v>55.637</v>
      </c>
      <c r="CX102" s="106">
        <f t="shared" si="966"/>
        <v>47.637</v>
      </c>
      <c r="CY102" s="107">
        <f t="shared" si="967"/>
        <v>0</v>
      </c>
      <c r="CZ102" s="108">
        <f t="shared" si="968"/>
        <v>8</v>
      </c>
      <c r="DA102" s="105">
        <f t="shared" si="969"/>
        <v>0</v>
      </c>
      <c r="DB102" s="106">
        <f t="shared" si="970"/>
        <v>0</v>
      </c>
      <c r="DC102" s="107">
        <f t="shared" si="971"/>
        <v>0</v>
      </c>
      <c r="DD102" s="108">
        <f t="shared" si="972"/>
        <v>0</v>
      </c>
      <c r="DE102" s="164">
        <f t="shared" si="998"/>
        <v>2.9990000000000001</v>
      </c>
      <c r="DF102" s="147"/>
      <c r="DG102" s="161"/>
      <c r="DH102" s="162">
        <v>2.9990000000000001</v>
      </c>
      <c r="DI102" s="164">
        <f>SUM(DJ102,DL102)</f>
        <v>0</v>
      </c>
      <c r="DJ102" s="147"/>
      <c r="DK102" s="161"/>
      <c r="DL102" s="162"/>
      <c r="DM102" s="105">
        <f t="shared" si="973"/>
        <v>58.636000000000003</v>
      </c>
      <c r="DN102" s="106">
        <f t="shared" si="974"/>
        <v>47.637</v>
      </c>
      <c r="DO102" s="107">
        <f t="shared" si="975"/>
        <v>0</v>
      </c>
      <c r="DP102" s="108">
        <f t="shared" si="976"/>
        <v>10.999000000000001</v>
      </c>
      <c r="DQ102" s="105">
        <f t="shared" si="977"/>
        <v>0</v>
      </c>
      <c r="DR102" s="106">
        <f t="shared" si="978"/>
        <v>0</v>
      </c>
      <c r="DS102" s="107">
        <f t="shared" si="979"/>
        <v>0</v>
      </c>
      <c r="DT102" s="108">
        <f t="shared" si="980"/>
        <v>0</v>
      </c>
      <c r="DU102" s="164">
        <f t="shared" si="999"/>
        <v>3.9129999999999998</v>
      </c>
      <c r="DV102" s="147">
        <v>3.9129999999999998</v>
      </c>
      <c r="DW102" s="161"/>
      <c r="DX102" s="162"/>
      <c r="DY102" s="164">
        <f>SUM(DZ102,EB102)</f>
        <v>0</v>
      </c>
      <c r="DZ102" s="147"/>
      <c r="EA102" s="161"/>
      <c r="EB102" s="162"/>
      <c r="EC102" s="105">
        <f t="shared" si="981"/>
        <v>62.548999999999999</v>
      </c>
      <c r="ED102" s="106">
        <f t="shared" si="982"/>
        <v>51.55</v>
      </c>
      <c r="EE102" s="107">
        <f t="shared" si="983"/>
        <v>0</v>
      </c>
      <c r="EF102" s="108">
        <f t="shared" si="984"/>
        <v>10.999000000000001</v>
      </c>
      <c r="EG102" s="105">
        <f t="shared" si="985"/>
        <v>0</v>
      </c>
      <c r="EH102" s="106">
        <f t="shared" si="986"/>
        <v>0</v>
      </c>
      <c r="EI102" s="107">
        <f t="shared" si="987"/>
        <v>0</v>
      </c>
      <c r="EJ102" s="108">
        <f t="shared" si="988"/>
        <v>0</v>
      </c>
      <c r="EK102" s="154">
        <f t="shared" si="648"/>
        <v>-8</v>
      </c>
      <c r="EL102" s="154">
        <f t="shared" si="649"/>
        <v>-62.548999999999999</v>
      </c>
      <c r="EM102" s="105">
        <f>SUM(EN102,EP102)</f>
        <v>0</v>
      </c>
      <c r="EN102" s="106"/>
      <c r="EO102" s="107"/>
      <c r="EP102" s="108"/>
      <c r="EQ102" s="105">
        <f>SUM(ER102,ET102)</f>
        <v>0</v>
      </c>
      <c r="ER102" s="106"/>
      <c r="ES102" s="107"/>
      <c r="ET102" s="108"/>
    </row>
    <row r="103" spans="1:150" s="4" customFormat="1" ht="21.65" customHeight="1" x14ac:dyDescent="0.25">
      <c r="A103" s="705"/>
      <c r="B103" s="703"/>
      <c r="C103" s="48" t="s">
        <v>211</v>
      </c>
      <c r="D103" s="139" t="s">
        <v>52</v>
      </c>
      <c r="E103" s="105"/>
      <c r="F103" s="106"/>
      <c r="G103" s="107"/>
      <c r="H103" s="108"/>
      <c r="I103" s="105"/>
      <c r="J103" s="106"/>
      <c r="K103" s="107"/>
      <c r="L103" s="108"/>
      <c r="M103" s="105"/>
      <c r="N103" s="106"/>
      <c r="O103" s="107"/>
      <c r="P103" s="108"/>
      <c r="Q103" s="105"/>
      <c r="R103" s="106"/>
      <c r="S103" s="107"/>
      <c r="T103" s="108"/>
      <c r="U103" s="105"/>
      <c r="V103" s="106"/>
      <c r="W103" s="107"/>
      <c r="X103" s="108"/>
      <c r="Y103" s="105"/>
      <c r="Z103" s="106"/>
      <c r="AA103" s="107"/>
      <c r="AB103" s="108"/>
      <c r="AC103" s="105"/>
      <c r="AD103" s="106"/>
      <c r="AE103" s="107"/>
      <c r="AF103" s="108"/>
      <c r="AG103" s="105"/>
      <c r="AH103" s="106"/>
      <c r="AI103" s="107"/>
      <c r="AJ103" s="108"/>
      <c r="AK103" s="105"/>
      <c r="AL103" s="106"/>
      <c r="AM103" s="107"/>
      <c r="AN103" s="108"/>
      <c r="AO103" s="105"/>
      <c r="AP103" s="106"/>
      <c r="AQ103" s="107"/>
      <c r="AR103" s="108"/>
      <c r="AS103" s="105"/>
      <c r="AT103" s="106"/>
      <c r="AU103" s="107"/>
      <c r="AV103" s="108"/>
      <c r="AW103" s="105"/>
      <c r="AX103" s="106"/>
      <c r="AY103" s="107"/>
      <c r="AZ103" s="108"/>
      <c r="BA103" s="105"/>
      <c r="BB103" s="106"/>
      <c r="BC103" s="107"/>
      <c r="BD103" s="108"/>
      <c r="BE103" s="105"/>
      <c r="BF103" s="106"/>
      <c r="BG103" s="107"/>
      <c r="BH103" s="108"/>
      <c r="BI103" s="105"/>
      <c r="BJ103" s="106"/>
      <c r="BK103" s="107"/>
      <c r="BL103" s="108"/>
      <c r="BM103" s="105"/>
      <c r="BN103" s="106"/>
      <c r="BO103" s="107"/>
      <c r="BP103" s="108"/>
      <c r="BQ103" s="105"/>
      <c r="BR103" s="106"/>
      <c r="BS103" s="107"/>
      <c r="BT103" s="108"/>
      <c r="BU103" s="105"/>
      <c r="BV103" s="106"/>
      <c r="BW103" s="107"/>
      <c r="BX103" s="108"/>
      <c r="BY103" s="164"/>
      <c r="BZ103" s="147"/>
      <c r="CA103" s="161"/>
      <c r="CB103" s="162"/>
      <c r="CC103" s="164"/>
      <c r="CD103" s="147"/>
      <c r="CE103" s="161"/>
      <c r="CF103" s="162"/>
      <c r="CG103" s="105"/>
      <c r="CH103" s="106"/>
      <c r="CI103" s="107"/>
      <c r="CJ103" s="108"/>
      <c r="CK103" s="105"/>
      <c r="CL103" s="106"/>
      <c r="CM103" s="107"/>
      <c r="CN103" s="108"/>
      <c r="CO103" s="164">
        <f t="shared" si="997"/>
        <v>3.2530000000000001</v>
      </c>
      <c r="CP103" s="147"/>
      <c r="CQ103" s="161"/>
      <c r="CR103" s="162">
        <v>3.2530000000000001</v>
      </c>
      <c r="CS103" s="164"/>
      <c r="CT103" s="147"/>
      <c r="CU103" s="161"/>
      <c r="CV103" s="162"/>
      <c r="CW103" s="105">
        <f t="shared" ref="CW103" si="1000">SUM(CX103,CZ103)</f>
        <v>3.2530000000000001</v>
      </c>
      <c r="CX103" s="106">
        <f t="shared" ref="CX103" si="1001">CH103+CP103</f>
        <v>0</v>
      </c>
      <c r="CY103" s="107">
        <f t="shared" ref="CY103" si="1002">CI103+CQ103</f>
        <v>0</v>
      </c>
      <c r="CZ103" s="108">
        <f t="shared" ref="CZ103" si="1003">CJ103+CR103</f>
        <v>3.2530000000000001</v>
      </c>
      <c r="DA103" s="105"/>
      <c r="DB103" s="106"/>
      <c r="DC103" s="107"/>
      <c r="DD103" s="108"/>
      <c r="DE103" s="164">
        <f t="shared" si="998"/>
        <v>0</v>
      </c>
      <c r="DF103" s="147"/>
      <c r="DG103" s="161"/>
      <c r="DH103" s="162"/>
      <c r="DI103" s="164"/>
      <c r="DJ103" s="147"/>
      <c r="DK103" s="161"/>
      <c r="DL103" s="162"/>
      <c r="DM103" s="105">
        <f t="shared" si="973"/>
        <v>3.2530000000000001</v>
      </c>
      <c r="DN103" s="106">
        <f t="shared" si="974"/>
        <v>0</v>
      </c>
      <c r="DO103" s="107">
        <f t="shared" si="975"/>
        <v>0</v>
      </c>
      <c r="DP103" s="108">
        <f t="shared" si="976"/>
        <v>3.2530000000000001</v>
      </c>
      <c r="DQ103" s="105"/>
      <c r="DR103" s="106"/>
      <c r="DS103" s="107"/>
      <c r="DT103" s="108"/>
      <c r="DU103" s="164">
        <f t="shared" si="999"/>
        <v>0</v>
      </c>
      <c r="DV103" s="147"/>
      <c r="DW103" s="161"/>
      <c r="DX103" s="162"/>
      <c r="DY103" s="164"/>
      <c r="DZ103" s="147"/>
      <c r="EA103" s="161"/>
      <c r="EB103" s="162"/>
      <c r="EC103" s="105">
        <f t="shared" si="981"/>
        <v>3.2530000000000001</v>
      </c>
      <c r="ED103" s="106">
        <f t="shared" si="982"/>
        <v>0</v>
      </c>
      <c r="EE103" s="107">
        <f t="shared" si="983"/>
        <v>0</v>
      </c>
      <c r="EF103" s="108">
        <f t="shared" si="984"/>
        <v>3.2530000000000001</v>
      </c>
      <c r="EG103" s="105"/>
      <c r="EH103" s="106"/>
      <c r="EI103" s="107"/>
      <c r="EJ103" s="108"/>
      <c r="EK103" s="153">
        <f t="shared" si="648"/>
        <v>0</v>
      </c>
      <c r="EL103" s="154">
        <f t="shared" si="649"/>
        <v>-3.2530000000000001</v>
      </c>
      <c r="EM103" s="105"/>
      <c r="EN103" s="106"/>
      <c r="EO103" s="107"/>
      <c r="EP103" s="108"/>
      <c r="EQ103" s="105"/>
      <c r="ER103" s="106"/>
      <c r="ES103" s="107"/>
      <c r="ET103" s="108"/>
    </row>
    <row r="104" spans="1:150" ht="22.25" customHeight="1" x14ac:dyDescent="0.3">
      <c r="A104" s="46"/>
      <c r="B104" s="33" t="s">
        <v>153</v>
      </c>
      <c r="C104" s="47" t="s">
        <v>104</v>
      </c>
      <c r="D104" s="93"/>
      <c r="E104" s="148">
        <f>SUM(F104,H104)</f>
        <v>856.55600000000004</v>
      </c>
      <c r="F104" s="149">
        <f>SUM(F106:F109)</f>
        <v>843.476</v>
      </c>
      <c r="G104" s="150">
        <f>SUM(G106:G109)</f>
        <v>781.87599999999998</v>
      </c>
      <c r="H104" s="151">
        <f>SUM(H106:H109)</f>
        <v>13.079999999999998</v>
      </c>
      <c r="I104" s="148">
        <f>SUM(J104,L104)</f>
        <v>0.14599999999999999</v>
      </c>
      <c r="J104" s="149">
        <f>SUM(J106:J108)</f>
        <v>0.14599999999999999</v>
      </c>
      <c r="K104" s="150">
        <f>SUM(K106:K108)</f>
        <v>0</v>
      </c>
      <c r="L104" s="151">
        <f>SUM(L106:L108)</f>
        <v>0</v>
      </c>
      <c r="M104" s="148">
        <f>SUM(N104,P104)</f>
        <v>0</v>
      </c>
      <c r="N104" s="149">
        <f>SUM(N106:N109)</f>
        <v>0</v>
      </c>
      <c r="O104" s="150">
        <f>SUM(O106:O109)</f>
        <v>0</v>
      </c>
      <c r="P104" s="151">
        <f>SUM(P106:P109)</f>
        <v>0</v>
      </c>
      <c r="Q104" s="148">
        <f>SUM(R104,T104)</f>
        <v>0</v>
      </c>
      <c r="R104" s="149">
        <f>SUM(R106:R108)</f>
        <v>0</v>
      </c>
      <c r="S104" s="150">
        <f>SUM(S106:S108)</f>
        <v>0</v>
      </c>
      <c r="T104" s="151">
        <f>SUM(T106:T108)</f>
        <v>0</v>
      </c>
      <c r="U104" s="148">
        <f>SUM(V104,X104)</f>
        <v>856.55600000000004</v>
      </c>
      <c r="V104" s="149">
        <f>SUM(V106:V109)</f>
        <v>843.476</v>
      </c>
      <c r="W104" s="150">
        <f>SUM(W106:W109)</f>
        <v>781.87599999999998</v>
      </c>
      <c r="X104" s="151">
        <f>SUM(X106:X109)</f>
        <v>13.079999999999998</v>
      </c>
      <c r="Y104" s="148">
        <f>SUM(Z104,AB104)</f>
        <v>0.14599999999999999</v>
      </c>
      <c r="Z104" s="149">
        <f>SUM(Z106:Z108)</f>
        <v>0.14599999999999999</v>
      </c>
      <c r="AA104" s="150">
        <f>SUM(AA106:AA108)</f>
        <v>0</v>
      </c>
      <c r="AB104" s="151">
        <f>SUM(AB106:AB108)</f>
        <v>0</v>
      </c>
      <c r="AC104" s="148">
        <f>SUM(AD104,AF104)</f>
        <v>0</v>
      </c>
      <c r="AD104" s="149">
        <f>SUM(AD106:AD109)</f>
        <v>0</v>
      </c>
      <c r="AE104" s="150">
        <f>SUM(AE106:AE109)</f>
        <v>-3.855</v>
      </c>
      <c r="AF104" s="151">
        <f>SUM(AF106:AF109)</f>
        <v>0</v>
      </c>
      <c r="AG104" s="148">
        <f>SUM(AH104,AJ104)</f>
        <v>0</v>
      </c>
      <c r="AH104" s="149">
        <f>SUM(AH106:AH108)</f>
        <v>0</v>
      </c>
      <c r="AI104" s="150">
        <f>SUM(AI106:AI108)</f>
        <v>0</v>
      </c>
      <c r="AJ104" s="151">
        <f>SUM(AJ106:AJ108)</f>
        <v>0</v>
      </c>
      <c r="AK104" s="148">
        <f>SUM(AL104,AN104)</f>
        <v>856.55600000000004</v>
      </c>
      <c r="AL104" s="149">
        <f>SUM(AL106:AL109)</f>
        <v>843.476</v>
      </c>
      <c r="AM104" s="150">
        <f>SUM(AM106:AM109)</f>
        <v>778.02099999999996</v>
      </c>
      <c r="AN104" s="151">
        <f>SUM(AN106:AN109)</f>
        <v>13.079999999999998</v>
      </c>
      <c r="AO104" s="148">
        <f>SUM(AP104,AR104)</f>
        <v>0.14599999999999999</v>
      </c>
      <c r="AP104" s="149">
        <f>SUM(AP106:AP108)</f>
        <v>0.14599999999999999</v>
      </c>
      <c r="AQ104" s="150">
        <f>SUM(AQ106:AQ108)</f>
        <v>0</v>
      </c>
      <c r="AR104" s="151">
        <f>SUM(AR106:AR108)</f>
        <v>0</v>
      </c>
      <c r="AS104" s="148">
        <f>SUM(AT104,AV104)</f>
        <v>0.3</v>
      </c>
      <c r="AT104" s="149">
        <f>SUM(AT106:AT109)</f>
        <v>0.3</v>
      </c>
      <c r="AU104" s="150">
        <f>SUM(AU106:AU109)</f>
        <v>0.19700000000000001</v>
      </c>
      <c r="AV104" s="151">
        <f>SUM(AV106:AV109)</f>
        <v>0</v>
      </c>
      <c r="AW104" s="148">
        <f>SUM(AX104,AZ104)</f>
        <v>0</v>
      </c>
      <c r="AX104" s="149">
        <f>SUM(AX106:AX108)</f>
        <v>0</v>
      </c>
      <c r="AY104" s="150">
        <f>SUM(AY106:AY108)</f>
        <v>0</v>
      </c>
      <c r="AZ104" s="151">
        <f>SUM(AZ106:AZ108)</f>
        <v>0</v>
      </c>
      <c r="BA104" s="148">
        <f>SUM(BB104,BD104)</f>
        <v>856.85599999999999</v>
      </c>
      <c r="BB104" s="149">
        <f>SUM(BB106:BB109)</f>
        <v>843.77599999999995</v>
      </c>
      <c r="BC104" s="150">
        <f>SUM(BC106:BC109)</f>
        <v>778.21799999999996</v>
      </c>
      <c r="BD104" s="151">
        <f>SUM(BD106:BD109)</f>
        <v>13.079999999999998</v>
      </c>
      <c r="BE104" s="148">
        <f>SUM(BF104,BH104)</f>
        <v>0.14599999999999999</v>
      </c>
      <c r="BF104" s="149">
        <f>SUM(BF106:BF108)</f>
        <v>0.14599999999999999</v>
      </c>
      <c r="BG104" s="150">
        <f>SUM(BG106:BG108)</f>
        <v>0</v>
      </c>
      <c r="BH104" s="151">
        <f>SUM(BH106:BH108)</f>
        <v>0</v>
      </c>
      <c r="BI104" s="148">
        <f>SUM(BJ104,BL104)</f>
        <v>0</v>
      </c>
      <c r="BJ104" s="149">
        <f>SUM(BJ106:BJ109)</f>
        <v>0</v>
      </c>
      <c r="BK104" s="150">
        <f>SUM(BK106:BK109)</f>
        <v>0</v>
      </c>
      <c r="BL104" s="151">
        <f>SUM(BL106:BL109)</f>
        <v>0</v>
      </c>
      <c r="BM104" s="148">
        <f>SUM(BN104,BP104)</f>
        <v>0</v>
      </c>
      <c r="BN104" s="149">
        <f>SUM(BN106:BN108)</f>
        <v>0</v>
      </c>
      <c r="BO104" s="150">
        <f>SUM(BO106:BO108)</f>
        <v>0</v>
      </c>
      <c r="BP104" s="151">
        <f>SUM(BP106:BP108)</f>
        <v>0</v>
      </c>
      <c r="BQ104" s="148">
        <f>SUM(BR104,BT104)</f>
        <v>856.85599999999999</v>
      </c>
      <c r="BR104" s="149">
        <f>SUM(BR106:BR109)</f>
        <v>843.77599999999995</v>
      </c>
      <c r="BS104" s="150">
        <f>SUM(BS106:BS109)</f>
        <v>778.21799999999996</v>
      </c>
      <c r="BT104" s="151">
        <f>SUM(BT106:BT109)</f>
        <v>13.079999999999998</v>
      </c>
      <c r="BU104" s="148">
        <f>SUM(BV104,BX104)</f>
        <v>0.14599999999999999</v>
      </c>
      <c r="BV104" s="149">
        <f>SUM(BV106:BV108)</f>
        <v>0.14599999999999999</v>
      </c>
      <c r="BW104" s="150">
        <f>SUM(BW106:BW108)</f>
        <v>0</v>
      </c>
      <c r="BX104" s="151">
        <f>SUM(BX106:BX108)</f>
        <v>0</v>
      </c>
      <c r="BY104" s="175">
        <f>SUM(BZ104,CB104)</f>
        <v>0</v>
      </c>
      <c r="BZ104" s="176">
        <f>SUM(BZ106:BZ109)</f>
        <v>0</v>
      </c>
      <c r="CA104" s="177">
        <f>SUM(CA106:CA109)</f>
        <v>-16.632000000000001</v>
      </c>
      <c r="CB104" s="178">
        <f>SUM(CB106:CB109)</f>
        <v>0</v>
      </c>
      <c r="CC104" s="175">
        <f>SUM(CD104,CF104)</f>
        <v>0</v>
      </c>
      <c r="CD104" s="176">
        <f>SUM(CD106:CD108)</f>
        <v>0</v>
      </c>
      <c r="CE104" s="177">
        <f>SUM(CE106:CE108)</f>
        <v>0</v>
      </c>
      <c r="CF104" s="178">
        <f>SUM(CF106:CF108)</f>
        <v>0</v>
      </c>
      <c r="CG104" s="148">
        <f>SUM(CH104,CJ104)</f>
        <v>856.85599999999999</v>
      </c>
      <c r="CH104" s="149">
        <f>SUM(CH106:CH109)</f>
        <v>843.77599999999995</v>
      </c>
      <c r="CI104" s="150">
        <f>SUM(CI106:CI109)</f>
        <v>761.58600000000001</v>
      </c>
      <c r="CJ104" s="151">
        <f>SUM(CJ106:CJ109)</f>
        <v>13.079999999999998</v>
      </c>
      <c r="CK104" s="148">
        <f>SUM(CL104,CN104)</f>
        <v>0.14599999999999999</v>
      </c>
      <c r="CL104" s="149">
        <f>SUM(CL106:CL108)</f>
        <v>0.14599999999999999</v>
      </c>
      <c r="CM104" s="150">
        <f>SUM(CM106:CM108)</f>
        <v>0</v>
      </c>
      <c r="CN104" s="151">
        <f>SUM(CN106:CN108)</f>
        <v>0</v>
      </c>
      <c r="CO104" s="175">
        <f>SUM(CP104,CR104)</f>
        <v>0.56599999999999995</v>
      </c>
      <c r="CP104" s="176">
        <f>SUM(CP106:CP109)</f>
        <v>0.56599999999999995</v>
      </c>
      <c r="CQ104" s="177">
        <f>SUM(CQ106:CQ109)</f>
        <v>0.55800000000000005</v>
      </c>
      <c r="CR104" s="178">
        <f>SUM(CR106:CR109)</f>
        <v>0</v>
      </c>
      <c r="CS104" s="175">
        <f>SUM(CT104,CV104)</f>
        <v>0</v>
      </c>
      <c r="CT104" s="176">
        <f>SUM(CT106:CT108)</f>
        <v>0</v>
      </c>
      <c r="CU104" s="177">
        <f>SUM(CU106:CU108)</f>
        <v>0</v>
      </c>
      <c r="CV104" s="178">
        <f>SUM(CV106:CV108)</f>
        <v>0</v>
      </c>
      <c r="CW104" s="148">
        <f>SUM(CX104,CZ104)</f>
        <v>857.42200000000003</v>
      </c>
      <c r="CX104" s="149">
        <f>SUM(CX106:CX109)</f>
        <v>844.34199999999998</v>
      </c>
      <c r="CY104" s="150">
        <f>SUM(CY106:CY109)</f>
        <v>762.14400000000001</v>
      </c>
      <c r="CZ104" s="151">
        <f>SUM(CZ106:CZ109)</f>
        <v>13.079999999999998</v>
      </c>
      <c r="DA104" s="148">
        <f>SUM(DB104,DD104)</f>
        <v>0.14599999999999999</v>
      </c>
      <c r="DB104" s="149">
        <f>SUM(DB106:DB108)</f>
        <v>0.14599999999999999</v>
      </c>
      <c r="DC104" s="150">
        <f>SUM(DC106:DC108)</f>
        <v>0</v>
      </c>
      <c r="DD104" s="151">
        <f>SUM(DD106:DD108)</f>
        <v>0</v>
      </c>
      <c r="DE104" s="175">
        <f>SUM(DF104,DH104)</f>
        <v>-0.92</v>
      </c>
      <c r="DF104" s="176">
        <f>SUM(DF106:DF109)</f>
        <v>-0.92</v>
      </c>
      <c r="DG104" s="177">
        <f>SUM(DG106:DG109)</f>
        <v>-0.91</v>
      </c>
      <c r="DH104" s="178">
        <f>SUM(DH106:DH109)</f>
        <v>0</v>
      </c>
      <c r="DI104" s="175">
        <f>SUM(DJ104,DL104)</f>
        <v>0</v>
      </c>
      <c r="DJ104" s="176">
        <f>SUM(DJ106:DJ108)</f>
        <v>0</v>
      </c>
      <c r="DK104" s="177">
        <f>SUM(DK106:DK108)</f>
        <v>0</v>
      </c>
      <c r="DL104" s="178">
        <f>SUM(DL106:DL108)</f>
        <v>0</v>
      </c>
      <c r="DM104" s="148">
        <f>SUM(DN104,DP104)</f>
        <v>856.50200000000007</v>
      </c>
      <c r="DN104" s="149">
        <f>SUM(DN106:DN109)</f>
        <v>843.42200000000003</v>
      </c>
      <c r="DO104" s="150">
        <f>SUM(DO106:DO109)</f>
        <v>761.23400000000004</v>
      </c>
      <c r="DP104" s="151">
        <f>SUM(DP106:DP109)</f>
        <v>13.079999999999998</v>
      </c>
      <c r="DQ104" s="148">
        <f>SUM(DR104,DT104)</f>
        <v>0.14599999999999999</v>
      </c>
      <c r="DR104" s="149">
        <f>SUM(DR106:DR108)</f>
        <v>0.14599999999999999</v>
      </c>
      <c r="DS104" s="150">
        <f>SUM(DS106:DS108)</f>
        <v>0</v>
      </c>
      <c r="DT104" s="151">
        <f>SUM(DT106:DT108)</f>
        <v>0</v>
      </c>
      <c r="DU104" s="175">
        <f>SUM(DV104,DX104)</f>
        <v>0.36</v>
      </c>
      <c r="DV104" s="176">
        <f>SUM(DV106:DV109)</f>
        <v>0.36</v>
      </c>
      <c r="DW104" s="177">
        <f>SUM(DW106:DW109)</f>
        <v>0</v>
      </c>
      <c r="DX104" s="178">
        <f>SUM(DX106:DX109)</f>
        <v>0</v>
      </c>
      <c r="DY104" s="175">
        <f>SUM(DZ104,EB104)</f>
        <v>0</v>
      </c>
      <c r="DZ104" s="176">
        <f>SUM(DZ106:DZ108)</f>
        <v>0</v>
      </c>
      <c r="EA104" s="177">
        <f>SUM(EA106:EA108)</f>
        <v>0</v>
      </c>
      <c r="EB104" s="178">
        <f>SUM(EB106:EB108)</f>
        <v>0</v>
      </c>
      <c r="EC104" s="148">
        <f>SUM(ED104,EF104)</f>
        <v>856.86200000000008</v>
      </c>
      <c r="ED104" s="149">
        <f>SUM(ED106:ED109)</f>
        <v>843.78200000000004</v>
      </c>
      <c r="EE104" s="150">
        <f>SUM(EE106:EE109)</f>
        <v>761.23400000000004</v>
      </c>
      <c r="EF104" s="151">
        <f>SUM(EF106:EF109)</f>
        <v>13.079999999999998</v>
      </c>
      <c r="EG104" s="148">
        <f>SUM(EH104,EJ104)</f>
        <v>0.14599999999999999</v>
      </c>
      <c r="EH104" s="149">
        <f>SUM(EH106:EH108)</f>
        <v>0.14599999999999999</v>
      </c>
      <c r="EI104" s="150">
        <f>SUM(EI106:EI108)</f>
        <v>0</v>
      </c>
      <c r="EJ104" s="151">
        <f>SUM(EJ106:EJ108)</f>
        <v>0</v>
      </c>
      <c r="EK104" s="155">
        <f t="shared" si="648"/>
        <v>35.118999999999915</v>
      </c>
      <c r="EL104" s="155">
        <f t="shared" si="649"/>
        <v>34.812999999999874</v>
      </c>
      <c r="EM104" s="148">
        <f>SUM(EN104,EP104)</f>
        <v>891.67499999999995</v>
      </c>
      <c r="EN104" s="149">
        <f>SUM(EN106:EN109)</f>
        <v>882.02499999999998</v>
      </c>
      <c r="EO104" s="150">
        <f>SUM(EO106:EO109)</f>
        <v>811.28399999999999</v>
      </c>
      <c r="EP104" s="151">
        <f>SUM(EP106:EP109)</f>
        <v>9.65</v>
      </c>
      <c r="EQ104" s="148">
        <f>SUM(ER104,ET104)</f>
        <v>0.44799999999999995</v>
      </c>
      <c r="ER104" s="149">
        <f>SUM(ER106:ER108)</f>
        <v>0.44799999999999995</v>
      </c>
      <c r="ES104" s="150">
        <f>SUM(ES106:ES108)</f>
        <v>0</v>
      </c>
      <c r="ET104" s="151">
        <f>SUM(ET106:ET108)</f>
        <v>0</v>
      </c>
    </row>
    <row r="105" spans="1:150" ht="17.399999999999999" customHeight="1" x14ac:dyDescent="0.3">
      <c r="A105" s="50"/>
      <c r="B105" s="6" t="s">
        <v>2</v>
      </c>
      <c r="C105" s="51"/>
      <c r="D105" s="94"/>
      <c r="E105" s="105"/>
      <c r="F105" s="106"/>
      <c r="G105" s="107"/>
      <c r="H105" s="108"/>
      <c r="I105" s="105"/>
      <c r="J105" s="106"/>
      <c r="K105" s="107"/>
      <c r="L105" s="108"/>
      <c r="M105" s="105"/>
      <c r="N105" s="106"/>
      <c r="O105" s="107"/>
      <c r="P105" s="108"/>
      <c r="Q105" s="105"/>
      <c r="R105" s="106"/>
      <c r="S105" s="107"/>
      <c r="T105" s="108"/>
      <c r="U105" s="105"/>
      <c r="V105" s="106"/>
      <c r="W105" s="107"/>
      <c r="X105" s="108"/>
      <c r="Y105" s="105"/>
      <c r="Z105" s="106"/>
      <c r="AA105" s="107"/>
      <c r="AB105" s="108"/>
      <c r="AC105" s="105"/>
      <c r="AD105" s="106"/>
      <c r="AE105" s="107"/>
      <c r="AF105" s="108"/>
      <c r="AG105" s="105"/>
      <c r="AH105" s="106"/>
      <c r="AI105" s="107"/>
      <c r="AJ105" s="108"/>
      <c r="AK105" s="105"/>
      <c r="AL105" s="106"/>
      <c r="AM105" s="107"/>
      <c r="AN105" s="108"/>
      <c r="AO105" s="105"/>
      <c r="AP105" s="106"/>
      <c r="AQ105" s="107"/>
      <c r="AR105" s="108"/>
      <c r="AS105" s="105"/>
      <c r="AT105" s="106"/>
      <c r="AU105" s="107"/>
      <c r="AV105" s="108"/>
      <c r="AW105" s="105"/>
      <c r="AX105" s="106"/>
      <c r="AY105" s="107"/>
      <c r="AZ105" s="108"/>
      <c r="BA105" s="105"/>
      <c r="BB105" s="106"/>
      <c r="BC105" s="107"/>
      <c r="BD105" s="108"/>
      <c r="BE105" s="105"/>
      <c r="BF105" s="106"/>
      <c r="BG105" s="107"/>
      <c r="BH105" s="108"/>
      <c r="BI105" s="105"/>
      <c r="BJ105" s="106"/>
      <c r="BK105" s="107"/>
      <c r="BL105" s="108"/>
      <c r="BM105" s="105"/>
      <c r="BN105" s="106"/>
      <c r="BO105" s="107"/>
      <c r="BP105" s="108"/>
      <c r="BQ105" s="105"/>
      <c r="BR105" s="106"/>
      <c r="BS105" s="107"/>
      <c r="BT105" s="108"/>
      <c r="BU105" s="105"/>
      <c r="BV105" s="106"/>
      <c r="BW105" s="107"/>
      <c r="BX105" s="108"/>
      <c r="BY105" s="164"/>
      <c r="BZ105" s="147"/>
      <c r="CA105" s="161"/>
      <c r="CB105" s="162"/>
      <c r="CC105" s="164"/>
      <c r="CD105" s="147"/>
      <c r="CE105" s="161"/>
      <c r="CF105" s="162"/>
      <c r="CG105" s="105"/>
      <c r="CH105" s="106"/>
      <c r="CI105" s="107"/>
      <c r="CJ105" s="108"/>
      <c r="CK105" s="105"/>
      <c r="CL105" s="106"/>
      <c r="CM105" s="107"/>
      <c r="CN105" s="108"/>
      <c r="CO105" s="164"/>
      <c r="CP105" s="147"/>
      <c r="CQ105" s="161"/>
      <c r="CR105" s="162"/>
      <c r="CS105" s="164"/>
      <c r="CT105" s="147"/>
      <c r="CU105" s="161"/>
      <c r="CV105" s="162"/>
      <c r="CW105" s="105"/>
      <c r="CX105" s="106"/>
      <c r="CY105" s="107"/>
      <c r="CZ105" s="108"/>
      <c r="DA105" s="105"/>
      <c r="DB105" s="106"/>
      <c r="DC105" s="107"/>
      <c r="DD105" s="108"/>
      <c r="DE105" s="164"/>
      <c r="DF105" s="147"/>
      <c r="DG105" s="161"/>
      <c r="DH105" s="162"/>
      <c r="DI105" s="164"/>
      <c r="DJ105" s="147"/>
      <c r="DK105" s="161"/>
      <c r="DL105" s="162"/>
      <c r="DM105" s="105"/>
      <c r="DN105" s="106"/>
      <c r="DO105" s="107"/>
      <c r="DP105" s="108"/>
      <c r="DQ105" s="105"/>
      <c r="DR105" s="106"/>
      <c r="DS105" s="107"/>
      <c r="DT105" s="108"/>
      <c r="DU105" s="164"/>
      <c r="DV105" s="147"/>
      <c r="DW105" s="161"/>
      <c r="DX105" s="162"/>
      <c r="DY105" s="164"/>
      <c r="DZ105" s="147"/>
      <c r="EA105" s="161"/>
      <c r="EB105" s="162"/>
      <c r="EC105" s="105"/>
      <c r="ED105" s="106"/>
      <c r="EE105" s="107"/>
      <c r="EF105" s="108"/>
      <c r="EG105" s="105"/>
      <c r="EH105" s="106"/>
      <c r="EI105" s="107"/>
      <c r="EJ105" s="108"/>
      <c r="EK105" s="153">
        <f t="shared" si="648"/>
        <v>0</v>
      </c>
      <c r="EL105" s="153">
        <f t="shared" si="649"/>
        <v>0</v>
      </c>
      <c r="EM105" s="105"/>
      <c r="EN105" s="106"/>
      <c r="EO105" s="107"/>
      <c r="EP105" s="108"/>
      <c r="EQ105" s="105"/>
      <c r="ER105" s="106"/>
      <c r="ES105" s="107"/>
      <c r="ET105" s="108"/>
    </row>
    <row r="106" spans="1:150" s="4" customFormat="1" ht="21.65" customHeight="1" x14ac:dyDescent="0.25">
      <c r="A106" s="704" t="s">
        <v>26</v>
      </c>
      <c r="B106" s="702" t="s">
        <v>42</v>
      </c>
      <c r="C106" s="48" t="s">
        <v>73</v>
      </c>
      <c r="D106" s="93" t="s">
        <v>37</v>
      </c>
      <c r="E106" s="105">
        <f>SUM(F106,H106)</f>
        <v>814.38</v>
      </c>
      <c r="F106" s="106">
        <f>795.4+10.1</f>
        <v>805.5</v>
      </c>
      <c r="G106" s="107">
        <f>755.12+9.956-9.2</f>
        <v>755.87599999999998</v>
      </c>
      <c r="H106" s="108">
        <f>7.5+1.38</f>
        <v>8.879999999999999</v>
      </c>
      <c r="I106" s="105">
        <f>SUM(J106,L106)</f>
        <v>0</v>
      </c>
      <c r="J106" s="106"/>
      <c r="K106" s="107"/>
      <c r="L106" s="108"/>
      <c r="M106" s="105">
        <f>SUM(N106,P106)</f>
        <v>0</v>
      </c>
      <c r="N106" s="106"/>
      <c r="O106" s="107"/>
      <c r="P106" s="108"/>
      <c r="Q106" s="105">
        <f>SUM(R106,T106)</f>
        <v>0</v>
      </c>
      <c r="R106" s="106"/>
      <c r="S106" s="107"/>
      <c r="T106" s="108"/>
      <c r="U106" s="105">
        <f t="shared" ref="U106" si="1004">SUM(V106,X106)</f>
        <v>814.38</v>
      </c>
      <c r="V106" s="106">
        <f t="shared" ref="V106" si="1005">F106+N106</f>
        <v>805.5</v>
      </c>
      <c r="W106" s="107">
        <f t="shared" ref="W106" si="1006">G106+O106</f>
        <v>755.87599999999998</v>
      </c>
      <c r="X106" s="108">
        <f t="shared" ref="X106" si="1007">H106+P106</f>
        <v>8.879999999999999</v>
      </c>
      <c r="Y106" s="105">
        <f t="shared" ref="Y106" si="1008">SUM(Z106,AB106)</f>
        <v>0</v>
      </c>
      <c r="Z106" s="106">
        <f t="shared" ref="Z106" si="1009">J106+R106</f>
        <v>0</v>
      </c>
      <c r="AA106" s="107">
        <f t="shared" ref="AA106" si="1010">K106+S106</f>
        <v>0</v>
      </c>
      <c r="AB106" s="108">
        <f t="shared" ref="AB106" si="1011">L106+T106</f>
        <v>0</v>
      </c>
      <c r="AC106" s="105">
        <f>SUM(AD106,AF106)</f>
        <v>0</v>
      </c>
      <c r="AD106" s="106"/>
      <c r="AE106" s="107">
        <v>-3.855</v>
      </c>
      <c r="AF106" s="108"/>
      <c r="AG106" s="105">
        <f>SUM(AH106,AJ106)</f>
        <v>0</v>
      </c>
      <c r="AH106" s="106"/>
      <c r="AI106" s="107"/>
      <c r="AJ106" s="108"/>
      <c r="AK106" s="105">
        <f t="shared" ref="AK106:AK108" si="1012">SUM(AL106,AN106)</f>
        <v>814.38</v>
      </c>
      <c r="AL106" s="106">
        <f t="shared" ref="AL106:AL108" si="1013">V106+AD106</f>
        <v>805.5</v>
      </c>
      <c r="AM106" s="107">
        <f t="shared" ref="AM106:AM108" si="1014">W106+AE106</f>
        <v>752.02099999999996</v>
      </c>
      <c r="AN106" s="108">
        <f t="shared" ref="AN106:AN108" si="1015">X106+AF106</f>
        <v>8.879999999999999</v>
      </c>
      <c r="AO106" s="105">
        <f t="shared" ref="AO106:AO108" si="1016">SUM(AP106,AR106)</f>
        <v>0</v>
      </c>
      <c r="AP106" s="106">
        <f t="shared" ref="AP106:AP108" si="1017">Z106+AH106</f>
        <v>0</v>
      </c>
      <c r="AQ106" s="107">
        <f t="shared" ref="AQ106:AQ108" si="1018">AA106+AI106</f>
        <v>0</v>
      </c>
      <c r="AR106" s="108">
        <f t="shared" ref="AR106:AR108" si="1019">AB106+AJ106</f>
        <v>0</v>
      </c>
      <c r="AS106" s="105">
        <f>SUM(AT106,AV106)</f>
        <v>0.3</v>
      </c>
      <c r="AT106" s="106">
        <v>0.3</v>
      </c>
      <c r="AU106" s="107">
        <v>0.19700000000000001</v>
      </c>
      <c r="AV106" s="108"/>
      <c r="AW106" s="105">
        <f>SUM(AX106,AZ106)</f>
        <v>0</v>
      </c>
      <c r="AX106" s="106"/>
      <c r="AY106" s="107"/>
      <c r="AZ106" s="108"/>
      <c r="BA106" s="105">
        <f t="shared" ref="BA106:BA108" si="1020">SUM(BB106,BD106)</f>
        <v>814.68</v>
      </c>
      <c r="BB106" s="106">
        <f t="shared" ref="BB106:BB108" si="1021">AL106+AT106</f>
        <v>805.8</v>
      </c>
      <c r="BC106" s="107">
        <f t="shared" ref="BC106:BC108" si="1022">AM106+AU106</f>
        <v>752.21799999999996</v>
      </c>
      <c r="BD106" s="108">
        <f t="shared" ref="BD106:BD108" si="1023">AN106+AV106</f>
        <v>8.879999999999999</v>
      </c>
      <c r="BE106" s="105">
        <f t="shared" ref="BE106:BE108" si="1024">SUM(BF106,BH106)</f>
        <v>0</v>
      </c>
      <c r="BF106" s="106">
        <f t="shared" ref="BF106:BF108" si="1025">AP106+AX106</f>
        <v>0</v>
      </c>
      <c r="BG106" s="107">
        <f t="shared" ref="BG106:BG108" si="1026">AQ106+AY106</f>
        <v>0</v>
      </c>
      <c r="BH106" s="108">
        <f t="shared" ref="BH106:BH108" si="1027">AR106+AZ106</f>
        <v>0</v>
      </c>
      <c r="BI106" s="105">
        <f>SUM(BJ106,BL106)</f>
        <v>0</v>
      </c>
      <c r="BJ106" s="106"/>
      <c r="BK106" s="107"/>
      <c r="BL106" s="108"/>
      <c r="BM106" s="105">
        <f>SUM(BN106,BP106)</f>
        <v>0</v>
      </c>
      <c r="BN106" s="106"/>
      <c r="BO106" s="107"/>
      <c r="BP106" s="108"/>
      <c r="BQ106" s="105">
        <f t="shared" ref="BQ106:BQ108" si="1028">SUM(BR106,BT106)</f>
        <v>814.68</v>
      </c>
      <c r="BR106" s="106">
        <f t="shared" ref="BR106:BR108" si="1029">BB106+BJ106</f>
        <v>805.8</v>
      </c>
      <c r="BS106" s="107">
        <f t="shared" ref="BS106:BS108" si="1030">BC106+BK106</f>
        <v>752.21799999999996</v>
      </c>
      <c r="BT106" s="108">
        <f t="shared" ref="BT106:BT108" si="1031">BD106+BL106</f>
        <v>8.879999999999999</v>
      </c>
      <c r="BU106" s="105">
        <f t="shared" ref="BU106:BU108" si="1032">SUM(BV106,BX106)</f>
        <v>0</v>
      </c>
      <c r="BV106" s="106">
        <f t="shared" ref="BV106:BV108" si="1033">BF106+BN106</f>
        <v>0</v>
      </c>
      <c r="BW106" s="107">
        <f t="shared" ref="BW106:BW108" si="1034">BG106+BO106</f>
        <v>0</v>
      </c>
      <c r="BX106" s="108">
        <f t="shared" ref="BX106:BX108" si="1035">BH106+BP106</f>
        <v>0</v>
      </c>
      <c r="BY106" s="164">
        <f>SUM(BZ106,CB106)</f>
        <v>0</v>
      </c>
      <c r="BZ106" s="147"/>
      <c r="CA106" s="161">
        <v>-16.632000000000001</v>
      </c>
      <c r="CB106" s="162"/>
      <c r="CC106" s="164">
        <f>SUM(CD106,CF106)</f>
        <v>0</v>
      </c>
      <c r="CD106" s="147"/>
      <c r="CE106" s="161"/>
      <c r="CF106" s="162"/>
      <c r="CG106" s="105">
        <f t="shared" ref="CG106:CG108" si="1036">SUM(CH106,CJ106)</f>
        <v>814.68</v>
      </c>
      <c r="CH106" s="106">
        <f t="shared" ref="CH106:CH108" si="1037">BR106+BZ106</f>
        <v>805.8</v>
      </c>
      <c r="CI106" s="107">
        <f t="shared" ref="CI106:CI108" si="1038">BS106+CA106</f>
        <v>735.58600000000001</v>
      </c>
      <c r="CJ106" s="108">
        <f t="shared" ref="CJ106:CJ108" si="1039">BT106+CB106</f>
        <v>8.879999999999999</v>
      </c>
      <c r="CK106" s="105">
        <f t="shared" ref="CK106:CK108" si="1040">SUM(CL106,CN106)</f>
        <v>0</v>
      </c>
      <c r="CL106" s="106">
        <f t="shared" ref="CL106:CL108" si="1041">BV106+CD106</f>
        <v>0</v>
      </c>
      <c r="CM106" s="107">
        <f t="shared" ref="CM106:CM108" si="1042">BW106+CE106</f>
        <v>0</v>
      </c>
      <c r="CN106" s="108">
        <f t="shared" ref="CN106:CN108" si="1043">BX106+CF106</f>
        <v>0</v>
      </c>
      <c r="CO106" s="164">
        <f>SUM(CP106,CR106)</f>
        <v>0.56599999999999995</v>
      </c>
      <c r="CP106" s="147">
        <v>0.56599999999999995</v>
      </c>
      <c r="CQ106" s="161">
        <v>0.55800000000000005</v>
      </c>
      <c r="CR106" s="162"/>
      <c r="CS106" s="164">
        <f>SUM(CT106,CV106)</f>
        <v>0</v>
      </c>
      <c r="CT106" s="147"/>
      <c r="CU106" s="161"/>
      <c r="CV106" s="162"/>
      <c r="CW106" s="105">
        <f t="shared" ref="CW106:CW108" si="1044">SUM(CX106,CZ106)</f>
        <v>815.24599999999998</v>
      </c>
      <c r="CX106" s="106">
        <f t="shared" ref="CX106:CX108" si="1045">CH106+CP106</f>
        <v>806.36599999999999</v>
      </c>
      <c r="CY106" s="107">
        <f t="shared" ref="CY106:CY108" si="1046">CI106+CQ106</f>
        <v>736.14400000000001</v>
      </c>
      <c r="CZ106" s="108">
        <f t="shared" ref="CZ106:CZ108" si="1047">CJ106+CR106</f>
        <v>8.879999999999999</v>
      </c>
      <c r="DA106" s="105">
        <f t="shared" ref="DA106:DA108" si="1048">SUM(DB106,DD106)</f>
        <v>0</v>
      </c>
      <c r="DB106" s="106">
        <f t="shared" ref="DB106:DB108" si="1049">CL106+CT106</f>
        <v>0</v>
      </c>
      <c r="DC106" s="107">
        <f t="shared" ref="DC106:DC108" si="1050">CM106+CU106</f>
        <v>0</v>
      </c>
      <c r="DD106" s="108">
        <f t="shared" ref="DD106:DD108" si="1051">CN106+CV106</f>
        <v>0</v>
      </c>
      <c r="DE106" s="164">
        <f>SUM(DF106,DH106)</f>
        <v>-0.92</v>
      </c>
      <c r="DF106" s="147">
        <v>-0.92</v>
      </c>
      <c r="DG106" s="161">
        <v>-0.91</v>
      </c>
      <c r="DH106" s="162"/>
      <c r="DI106" s="164">
        <f>SUM(DJ106,DL106)</f>
        <v>0</v>
      </c>
      <c r="DJ106" s="147"/>
      <c r="DK106" s="161"/>
      <c r="DL106" s="162"/>
      <c r="DM106" s="105">
        <f t="shared" ref="DM106:DM108" si="1052">SUM(DN106,DP106)</f>
        <v>814.32600000000002</v>
      </c>
      <c r="DN106" s="106">
        <f t="shared" ref="DN106:DN108" si="1053">CX106+DF106</f>
        <v>805.44600000000003</v>
      </c>
      <c r="DO106" s="107">
        <f t="shared" ref="DO106:DO108" si="1054">CY106+DG106</f>
        <v>735.23400000000004</v>
      </c>
      <c r="DP106" s="108">
        <f t="shared" ref="DP106:DP108" si="1055">CZ106+DH106</f>
        <v>8.879999999999999</v>
      </c>
      <c r="DQ106" s="105">
        <f t="shared" ref="DQ106:DQ108" si="1056">SUM(DR106,DT106)</f>
        <v>0</v>
      </c>
      <c r="DR106" s="106">
        <f t="shared" ref="DR106:DR108" si="1057">DB106+DJ106</f>
        <v>0</v>
      </c>
      <c r="DS106" s="107">
        <f t="shared" ref="DS106:DS108" si="1058">DC106+DK106</f>
        <v>0</v>
      </c>
      <c r="DT106" s="108">
        <f t="shared" ref="DT106:DT108" si="1059">DD106+DL106</f>
        <v>0</v>
      </c>
      <c r="DU106" s="164">
        <f>SUM(DV106,DX106)</f>
        <v>0</v>
      </c>
      <c r="DV106" s="147"/>
      <c r="DW106" s="161"/>
      <c r="DX106" s="162"/>
      <c r="DY106" s="164">
        <f>SUM(DZ106,EB106)</f>
        <v>0</v>
      </c>
      <c r="DZ106" s="147"/>
      <c r="EA106" s="161"/>
      <c r="EB106" s="162"/>
      <c r="EC106" s="105">
        <f t="shared" ref="EC106:EC108" si="1060">SUM(ED106,EF106)</f>
        <v>814.32600000000002</v>
      </c>
      <c r="ED106" s="106">
        <f t="shared" ref="ED106:ED108" si="1061">DN106+DV106</f>
        <v>805.44600000000003</v>
      </c>
      <c r="EE106" s="107">
        <f t="shared" ref="EE106:EE108" si="1062">DO106+DW106</f>
        <v>735.23400000000004</v>
      </c>
      <c r="EF106" s="108">
        <f t="shared" ref="EF106:EF108" si="1063">DP106+DX106</f>
        <v>8.879999999999999</v>
      </c>
      <c r="EG106" s="105">
        <f t="shared" ref="EG106:EG108" si="1064">SUM(EH106,EJ106)</f>
        <v>0</v>
      </c>
      <c r="EH106" s="106">
        <f t="shared" ref="EH106:EH108" si="1065">DR106+DZ106</f>
        <v>0</v>
      </c>
      <c r="EI106" s="107">
        <f t="shared" ref="EI106:EI108" si="1066">DS106+EA106</f>
        <v>0</v>
      </c>
      <c r="EJ106" s="108">
        <f t="shared" ref="EJ106:EJ108" si="1067">DT106+EB106</f>
        <v>0</v>
      </c>
      <c r="EK106" s="163">
        <f t="shared" si="648"/>
        <v>31.436999999999898</v>
      </c>
      <c r="EL106" s="163">
        <f t="shared" si="649"/>
        <v>31.490999999999872</v>
      </c>
      <c r="EM106" s="105">
        <f>SUM(EN106,EP106)</f>
        <v>845.81699999999989</v>
      </c>
      <c r="EN106" s="106">
        <f>ER106+831.77+1.007+6</f>
        <v>838.81699999999989</v>
      </c>
      <c r="EO106" s="107">
        <f>787.5+0.894-4.11</f>
        <v>784.28399999999999</v>
      </c>
      <c r="EP106" s="108">
        <v>7</v>
      </c>
      <c r="EQ106" s="105">
        <f>SUM(ER106,ET106)</f>
        <v>0.04</v>
      </c>
      <c r="ER106" s="106">
        <v>0.04</v>
      </c>
      <c r="ES106" s="107"/>
      <c r="ET106" s="108"/>
    </row>
    <row r="107" spans="1:150" s="4" customFormat="1" ht="21.65" customHeight="1" x14ac:dyDescent="0.25">
      <c r="A107" s="716"/>
      <c r="B107" s="719"/>
      <c r="C107" s="48" t="s">
        <v>74</v>
      </c>
      <c r="D107" s="139" t="s">
        <v>52</v>
      </c>
      <c r="E107" s="105">
        <f>SUM(F107,H107)</f>
        <v>41.946000000000005</v>
      </c>
      <c r="F107" s="106">
        <f>26.38+11.22+J107</f>
        <v>37.746000000000002</v>
      </c>
      <c r="G107" s="107">
        <v>26</v>
      </c>
      <c r="H107" s="108">
        <f>4.2</f>
        <v>4.2</v>
      </c>
      <c r="I107" s="105">
        <f>SUM(J107,L107)</f>
        <v>0.14599999999999999</v>
      </c>
      <c r="J107" s="106">
        <v>0.14599999999999999</v>
      </c>
      <c r="K107" s="107"/>
      <c r="L107" s="108"/>
      <c r="M107" s="105">
        <f>SUM(N107,P107)</f>
        <v>0</v>
      </c>
      <c r="N107" s="106"/>
      <c r="O107" s="107"/>
      <c r="P107" s="108"/>
      <c r="Q107" s="105">
        <f>SUM(R107,T107)</f>
        <v>0</v>
      </c>
      <c r="R107" s="106"/>
      <c r="S107" s="107"/>
      <c r="T107" s="108"/>
      <c r="U107" s="105">
        <f t="shared" ref="U107:U108" si="1068">SUM(V107,X107)</f>
        <v>41.946000000000005</v>
      </c>
      <c r="V107" s="106">
        <f t="shared" ref="V107:V108" si="1069">F107+N107</f>
        <v>37.746000000000002</v>
      </c>
      <c r="W107" s="107">
        <f t="shared" ref="W107:W108" si="1070">G107+O107</f>
        <v>26</v>
      </c>
      <c r="X107" s="108">
        <f t="shared" ref="X107:X108" si="1071">H107+P107</f>
        <v>4.2</v>
      </c>
      <c r="Y107" s="105">
        <f t="shared" ref="Y107:Y108" si="1072">SUM(Z107,AB107)</f>
        <v>0.14599999999999999</v>
      </c>
      <c r="Z107" s="106">
        <f t="shared" ref="Z107:Z108" si="1073">J107+R107</f>
        <v>0.14599999999999999</v>
      </c>
      <c r="AA107" s="107">
        <f t="shared" ref="AA107:AA108" si="1074">K107+S107</f>
        <v>0</v>
      </c>
      <c r="AB107" s="108">
        <f t="shared" ref="AB107:AB108" si="1075">L107+T107</f>
        <v>0</v>
      </c>
      <c r="AC107" s="105">
        <f>SUM(AD107,AF107)</f>
        <v>0</v>
      </c>
      <c r="AD107" s="106"/>
      <c r="AE107" s="107"/>
      <c r="AF107" s="108"/>
      <c r="AG107" s="105">
        <f>SUM(AH107,AJ107)</f>
        <v>0</v>
      </c>
      <c r="AH107" s="106"/>
      <c r="AI107" s="107"/>
      <c r="AJ107" s="108"/>
      <c r="AK107" s="105">
        <f t="shared" si="1012"/>
        <v>41.946000000000005</v>
      </c>
      <c r="AL107" s="106">
        <f t="shared" si="1013"/>
        <v>37.746000000000002</v>
      </c>
      <c r="AM107" s="107">
        <f t="shared" si="1014"/>
        <v>26</v>
      </c>
      <c r="AN107" s="108">
        <f t="shared" si="1015"/>
        <v>4.2</v>
      </c>
      <c r="AO107" s="105">
        <f t="shared" si="1016"/>
        <v>0.14599999999999999</v>
      </c>
      <c r="AP107" s="106">
        <f t="shared" si="1017"/>
        <v>0.14599999999999999</v>
      </c>
      <c r="AQ107" s="107">
        <f t="shared" si="1018"/>
        <v>0</v>
      </c>
      <c r="AR107" s="108">
        <f t="shared" si="1019"/>
        <v>0</v>
      </c>
      <c r="AS107" s="105">
        <f>SUM(AT107,AV107)</f>
        <v>0</v>
      </c>
      <c r="AT107" s="106"/>
      <c r="AU107" s="107"/>
      <c r="AV107" s="108"/>
      <c r="AW107" s="105">
        <f>SUM(AX107,AZ107)</f>
        <v>0</v>
      </c>
      <c r="AX107" s="106"/>
      <c r="AY107" s="107"/>
      <c r="AZ107" s="108"/>
      <c r="BA107" s="105">
        <f t="shared" si="1020"/>
        <v>41.946000000000005</v>
      </c>
      <c r="BB107" s="106">
        <f t="shared" si="1021"/>
        <v>37.746000000000002</v>
      </c>
      <c r="BC107" s="107">
        <f t="shared" si="1022"/>
        <v>26</v>
      </c>
      <c r="BD107" s="108">
        <f t="shared" si="1023"/>
        <v>4.2</v>
      </c>
      <c r="BE107" s="105">
        <f t="shared" si="1024"/>
        <v>0.14599999999999999</v>
      </c>
      <c r="BF107" s="106">
        <f t="shared" si="1025"/>
        <v>0.14599999999999999</v>
      </c>
      <c r="BG107" s="107">
        <f t="shared" si="1026"/>
        <v>0</v>
      </c>
      <c r="BH107" s="108">
        <f t="shared" si="1027"/>
        <v>0</v>
      </c>
      <c r="BI107" s="105">
        <f>SUM(BJ107,BL107)</f>
        <v>0</v>
      </c>
      <c r="BJ107" s="106"/>
      <c r="BK107" s="107"/>
      <c r="BL107" s="108"/>
      <c r="BM107" s="105">
        <f>SUM(BN107,BP107)</f>
        <v>0</v>
      </c>
      <c r="BN107" s="106"/>
      <c r="BO107" s="107"/>
      <c r="BP107" s="108"/>
      <c r="BQ107" s="105">
        <f t="shared" si="1028"/>
        <v>41.946000000000005</v>
      </c>
      <c r="BR107" s="106">
        <f t="shared" si="1029"/>
        <v>37.746000000000002</v>
      </c>
      <c r="BS107" s="107">
        <f t="shared" si="1030"/>
        <v>26</v>
      </c>
      <c r="BT107" s="108">
        <f t="shared" si="1031"/>
        <v>4.2</v>
      </c>
      <c r="BU107" s="105">
        <f t="shared" si="1032"/>
        <v>0.14599999999999999</v>
      </c>
      <c r="BV107" s="106">
        <f t="shared" si="1033"/>
        <v>0.14599999999999999</v>
      </c>
      <c r="BW107" s="107">
        <f t="shared" si="1034"/>
        <v>0</v>
      </c>
      <c r="BX107" s="108">
        <f t="shared" si="1035"/>
        <v>0</v>
      </c>
      <c r="BY107" s="164">
        <f>SUM(BZ107,CB107)</f>
        <v>0</v>
      </c>
      <c r="BZ107" s="147"/>
      <c r="CA107" s="161"/>
      <c r="CB107" s="162"/>
      <c r="CC107" s="164">
        <f>SUM(CD107,CF107)</f>
        <v>0</v>
      </c>
      <c r="CD107" s="147"/>
      <c r="CE107" s="161"/>
      <c r="CF107" s="162"/>
      <c r="CG107" s="105">
        <f t="shared" si="1036"/>
        <v>41.946000000000005</v>
      </c>
      <c r="CH107" s="106">
        <f t="shared" si="1037"/>
        <v>37.746000000000002</v>
      </c>
      <c r="CI107" s="107">
        <f t="shared" si="1038"/>
        <v>26</v>
      </c>
      <c r="CJ107" s="108">
        <f t="shared" si="1039"/>
        <v>4.2</v>
      </c>
      <c r="CK107" s="105">
        <f t="shared" si="1040"/>
        <v>0.14599999999999999</v>
      </c>
      <c r="CL107" s="106">
        <f t="shared" si="1041"/>
        <v>0.14599999999999999</v>
      </c>
      <c r="CM107" s="107">
        <f t="shared" si="1042"/>
        <v>0</v>
      </c>
      <c r="CN107" s="108">
        <f t="shared" si="1043"/>
        <v>0</v>
      </c>
      <c r="CO107" s="164">
        <f>SUM(CP107,CR107)</f>
        <v>0</v>
      </c>
      <c r="CP107" s="147"/>
      <c r="CQ107" s="161"/>
      <c r="CR107" s="162"/>
      <c r="CS107" s="164">
        <f>SUM(CT107,CV107)</f>
        <v>0</v>
      </c>
      <c r="CT107" s="147"/>
      <c r="CU107" s="161"/>
      <c r="CV107" s="162"/>
      <c r="CW107" s="105">
        <f t="shared" si="1044"/>
        <v>41.946000000000005</v>
      </c>
      <c r="CX107" s="106">
        <f t="shared" si="1045"/>
        <v>37.746000000000002</v>
      </c>
      <c r="CY107" s="107">
        <f t="shared" si="1046"/>
        <v>26</v>
      </c>
      <c r="CZ107" s="108">
        <f t="shared" si="1047"/>
        <v>4.2</v>
      </c>
      <c r="DA107" s="105">
        <f t="shared" si="1048"/>
        <v>0.14599999999999999</v>
      </c>
      <c r="DB107" s="106">
        <f t="shared" si="1049"/>
        <v>0.14599999999999999</v>
      </c>
      <c r="DC107" s="107">
        <f t="shared" si="1050"/>
        <v>0</v>
      </c>
      <c r="DD107" s="108">
        <f t="shared" si="1051"/>
        <v>0</v>
      </c>
      <c r="DE107" s="164">
        <f>SUM(DF107,DH107)</f>
        <v>0</v>
      </c>
      <c r="DF107" s="147"/>
      <c r="DG107" s="161"/>
      <c r="DH107" s="162"/>
      <c r="DI107" s="164">
        <f>SUM(DJ107,DL107)</f>
        <v>0</v>
      </c>
      <c r="DJ107" s="147"/>
      <c r="DK107" s="161"/>
      <c r="DL107" s="162"/>
      <c r="DM107" s="105">
        <f t="shared" si="1052"/>
        <v>41.946000000000005</v>
      </c>
      <c r="DN107" s="106">
        <f t="shared" si="1053"/>
        <v>37.746000000000002</v>
      </c>
      <c r="DO107" s="107">
        <f t="shared" si="1054"/>
        <v>26</v>
      </c>
      <c r="DP107" s="108">
        <f t="shared" si="1055"/>
        <v>4.2</v>
      </c>
      <c r="DQ107" s="105">
        <f t="shared" si="1056"/>
        <v>0.14599999999999999</v>
      </c>
      <c r="DR107" s="106">
        <f t="shared" si="1057"/>
        <v>0.14599999999999999</v>
      </c>
      <c r="DS107" s="107">
        <f t="shared" si="1058"/>
        <v>0</v>
      </c>
      <c r="DT107" s="108">
        <f t="shared" si="1059"/>
        <v>0</v>
      </c>
      <c r="DU107" s="164">
        <f>SUM(DV107,DX107)</f>
        <v>0.36</v>
      </c>
      <c r="DV107" s="147">
        <v>0.36</v>
      </c>
      <c r="DW107" s="161"/>
      <c r="DX107" s="162"/>
      <c r="DY107" s="164">
        <f>SUM(DZ107,EB107)</f>
        <v>0</v>
      </c>
      <c r="DZ107" s="147"/>
      <c r="EA107" s="161"/>
      <c r="EB107" s="162"/>
      <c r="EC107" s="105">
        <f t="shared" si="1060"/>
        <v>42.306000000000004</v>
      </c>
      <c r="ED107" s="106">
        <f t="shared" si="1061"/>
        <v>38.106000000000002</v>
      </c>
      <c r="EE107" s="107">
        <f t="shared" si="1062"/>
        <v>26</v>
      </c>
      <c r="EF107" s="108">
        <f t="shared" si="1063"/>
        <v>4.2</v>
      </c>
      <c r="EG107" s="105">
        <f t="shared" si="1064"/>
        <v>0.14599999999999999</v>
      </c>
      <c r="EH107" s="106">
        <f t="shared" si="1065"/>
        <v>0.14599999999999999</v>
      </c>
      <c r="EI107" s="107">
        <f t="shared" si="1066"/>
        <v>0</v>
      </c>
      <c r="EJ107" s="108">
        <f t="shared" si="1067"/>
        <v>0</v>
      </c>
      <c r="EK107" s="163">
        <f t="shared" si="648"/>
        <v>3.6639999999999944</v>
      </c>
      <c r="EL107" s="163">
        <f t="shared" si="649"/>
        <v>3.3039999999999949</v>
      </c>
      <c r="EM107" s="105">
        <f>SUM(EN107,EP107)</f>
        <v>45.61</v>
      </c>
      <c r="EN107" s="106">
        <f>ER107+42.6</f>
        <v>42.96</v>
      </c>
      <c r="EO107" s="107">
        <v>27</v>
      </c>
      <c r="EP107" s="108">
        <v>2.65</v>
      </c>
      <c r="EQ107" s="105">
        <f>SUM(ER107,ET107)</f>
        <v>0.36</v>
      </c>
      <c r="ER107" s="106">
        <v>0.36</v>
      </c>
      <c r="ES107" s="107"/>
      <c r="ET107" s="108"/>
    </row>
    <row r="108" spans="1:150" s="4" customFormat="1" ht="21.65" customHeight="1" x14ac:dyDescent="0.25">
      <c r="A108" s="42" t="s">
        <v>33</v>
      </c>
      <c r="B108" s="103" t="s">
        <v>47</v>
      </c>
      <c r="C108" s="48" t="s">
        <v>164</v>
      </c>
      <c r="D108" s="139" t="s">
        <v>37</v>
      </c>
      <c r="E108" s="105">
        <f>SUM(F108,H108)</f>
        <v>0.23</v>
      </c>
      <c r="F108" s="106">
        <v>0.23</v>
      </c>
      <c r="G108" s="107"/>
      <c r="H108" s="108"/>
      <c r="I108" s="105">
        <f>SUM(J108,L108)</f>
        <v>0</v>
      </c>
      <c r="J108" s="106"/>
      <c r="K108" s="107"/>
      <c r="L108" s="108"/>
      <c r="M108" s="105">
        <f>SUM(N108,P108)</f>
        <v>0</v>
      </c>
      <c r="N108" s="106"/>
      <c r="O108" s="107"/>
      <c r="P108" s="108"/>
      <c r="Q108" s="105">
        <f>SUM(R108,T108)</f>
        <v>0</v>
      </c>
      <c r="R108" s="106"/>
      <c r="S108" s="107"/>
      <c r="T108" s="108"/>
      <c r="U108" s="105">
        <f t="shared" si="1068"/>
        <v>0.23</v>
      </c>
      <c r="V108" s="106">
        <f t="shared" si="1069"/>
        <v>0.23</v>
      </c>
      <c r="W108" s="107">
        <f t="shared" si="1070"/>
        <v>0</v>
      </c>
      <c r="X108" s="108">
        <f t="shared" si="1071"/>
        <v>0</v>
      </c>
      <c r="Y108" s="105">
        <f t="shared" si="1072"/>
        <v>0</v>
      </c>
      <c r="Z108" s="106">
        <f t="shared" si="1073"/>
        <v>0</v>
      </c>
      <c r="AA108" s="107">
        <f t="shared" si="1074"/>
        <v>0</v>
      </c>
      <c r="AB108" s="108">
        <f t="shared" si="1075"/>
        <v>0</v>
      </c>
      <c r="AC108" s="105">
        <f>SUM(AD108,AF108)</f>
        <v>0</v>
      </c>
      <c r="AD108" s="106"/>
      <c r="AE108" s="107"/>
      <c r="AF108" s="108"/>
      <c r="AG108" s="105">
        <f>SUM(AH108,AJ108)</f>
        <v>0</v>
      </c>
      <c r="AH108" s="106"/>
      <c r="AI108" s="107"/>
      <c r="AJ108" s="108"/>
      <c r="AK108" s="105">
        <f t="shared" si="1012"/>
        <v>0.23</v>
      </c>
      <c r="AL108" s="106">
        <f t="shared" si="1013"/>
        <v>0.23</v>
      </c>
      <c r="AM108" s="107">
        <f t="shared" si="1014"/>
        <v>0</v>
      </c>
      <c r="AN108" s="108">
        <f t="shared" si="1015"/>
        <v>0</v>
      </c>
      <c r="AO108" s="105">
        <f t="shared" si="1016"/>
        <v>0</v>
      </c>
      <c r="AP108" s="106">
        <f t="shared" si="1017"/>
        <v>0</v>
      </c>
      <c r="AQ108" s="107">
        <f t="shared" si="1018"/>
        <v>0</v>
      </c>
      <c r="AR108" s="108">
        <f t="shared" si="1019"/>
        <v>0</v>
      </c>
      <c r="AS108" s="105">
        <f>SUM(AT108,AV108)</f>
        <v>0</v>
      </c>
      <c r="AT108" s="106"/>
      <c r="AU108" s="107"/>
      <c r="AV108" s="108"/>
      <c r="AW108" s="105">
        <f>SUM(AX108,AZ108)</f>
        <v>0</v>
      </c>
      <c r="AX108" s="106"/>
      <c r="AY108" s="107"/>
      <c r="AZ108" s="108"/>
      <c r="BA108" s="105">
        <f t="shared" si="1020"/>
        <v>0.23</v>
      </c>
      <c r="BB108" s="106">
        <f t="shared" si="1021"/>
        <v>0.23</v>
      </c>
      <c r="BC108" s="107">
        <f t="shared" si="1022"/>
        <v>0</v>
      </c>
      <c r="BD108" s="108">
        <f t="shared" si="1023"/>
        <v>0</v>
      </c>
      <c r="BE108" s="105">
        <f t="shared" si="1024"/>
        <v>0</v>
      </c>
      <c r="BF108" s="106">
        <f t="shared" si="1025"/>
        <v>0</v>
      </c>
      <c r="BG108" s="107">
        <f t="shared" si="1026"/>
        <v>0</v>
      </c>
      <c r="BH108" s="108">
        <f t="shared" si="1027"/>
        <v>0</v>
      </c>
      <c r="BI108" s="105">
        <f>SUM(BJ108,BL108)</f>
        <v>0</v>
      </c>
      <c r="BJ108" s="106"/>
      <c r="BK108" s="107"/>
      <c r="BL108" s="108"/>
      <c r="BM108" s="105">
        <f>SUM(BN108,BP108)</f>
        <v>0</v>
      </c>
      <c r="BN108" s="106"/>
      <c r="BO108" s="107"/>
      <c r="BP108" s="108"/>
      <c r="BQ108" s="105">
        <f t="shared" si="1028"/>
        <v>0.23</v>
      </c>
      <c r="BR108" s="106">
        <f t="shared" si="1029"/>
        <v>0.23</v>
      </c>
      <c r="BS108" s="107">
        <f t="shared" si="1030"/>
        <v>0</v>
      </c>
      <c r="BT108" s="108">
        <f t="shared" si="1031"/>
        <v>0</v>
      </c>
      <c r="BU108" s="105">
        <f t="shared" si="1032"/>
        <v>0</v>
      </c>
      <c r="BV108" s="106">
        <f t="shared" si="1033"/>
        <v>0</v>
      </c>
      <c r="BW108" s="107">
        <f t="shared" si="1034"/>
        <v>0</v>
      </c>
      <c r="BX108" s="108">
        <f t="shared" si="1035"/>
        <v>0</v>
      </c>
      <c r="BY108" s="164">
        <f>SUM(BZ108,CB108)</f>
        <v>0</v>
      </c>
      <c r="BZ108" s="147"/>
      <c r="CA108" s="161"/>
      <c r="CB108" s="162"/>
      <c r="CC108" s="164">
        <f>SUM(CD108,CF108)</f>
        <v>0</v>
      </c>
      <c r="CD108" s="147"/>
      <c r="CE108" s="161"/>
      <c r="CF108" s="162"/>
      <c r="CG108" s="105">
        <f t="shared" si="1036"/>
        <v>0.23</v>
      </c>
      <c r="CH108" s="106">
        <f t="shared" si="1037"/>
        <v>0.23</v>
      </c>
      <c r="CI108" s="107">
        <f t="shared" si="1038"/>
        <v>0</v>
      </c>
      <c r="CJ108" s="108">
        <f t="shared" si="1039"/>
        <v>0</v>
      </c>
      <c r="CK108" s="105">
        <f t="shared" si="1040"/>
        <v>0</v>
      </c>
      <c r="CL108" s="106">
        <f t="shared" si="1041"/>
        <v>0</v>
      </c>
      <c r="CM108" s="107">
        <f t="shared" si="1042"/>
        <v>0</v>
      </c>
      <c r="CN108" s="108">
        <f t="shared" si="1043"/>
        <v>0</v>
      </c>
      <c r="CO108" s="164">
        <f>SUM(CP108,CR108)</f>
        <v>0</v>
      </c>
      <c r="CP108" s="147"/>
      <c r="CQ108" s="161"/>
      <c r="CR108" s="162"/>
      <c r="CS108" s="164">
        <f>SUM(CT108,CV108)</f>
        <v>0</v>
      </c>
      <c r="CT108" s="147"/>
      <c r="CU108" s="161"/>
      <c r="CV108" s="162"/>
      <c r="CW108" s="105">
        <f t="shared" si="1044"/>
        <v>0.23</v>
      </c>
      <c r="CX108" s="106">
        <f t="shared" si="1045"/>
        <v>0.23</v>
      </c>
      <c r="CY108" s="107">
        <f t="shared" si="1046"/>
        <v>0</v>
      </c>
      <c r="CZ108" s="108">
        <f t="shared" si="1047"/>
        <v>0</v>
      </c>
      <c r="DA108" s="105">
        <f t="shared" si="1048"/>
        <v>0</v>
      </c>
      <c r="DB108" s="106">
        <f t="shared" si="1049"/>
        <v>0</v>
      </c>
      <c r="DC108" s="107">
        <f t="shared" si="1050"/>
        <v>0</v>
      </c>
      <c r="DD108" s="108">
        <f t="shared" si="1051"/>
        <v>0</v>
      </c>
      <c r="DE108" s="164">
        <f>SUM(DF108,DH108)</f>
        <v>0</v>
      </c>
      <c r="DF108" s="147"/>
      <c r="DG108" s="161"/>
      <c r="DH108" s="162"/>
      <c r="DI108" s="164">
        <f>SUM(DJ108,DL108)</f>
        <v>0</v>
      </c>
      <c r="DJ108" s="147"/>
      <c r="DK108" s="161"/>
      <c r="DL108" s="162"/>
      <c r="DM108" s="105">
        <f t="shared" si="1052"/>
        <v>0.23</v>
      </c>
      <c r="DN108" s="106">
        <f t="shared" si="1053"/>
        <v>0.23</v>
      </c>
      <c r="DO108" s="107">
        <f t="shared" si="1054"/>
        <v>0</v>
      </c>
      <c r="DP108" s="108">
        <f t="shared" si="1055"/>
        <v>0</v>
      </c>
      <c r="DQ108" s="105">
        <f t="shared" si="1056"/>
        <v>0</v>
      </c>
      <c r="DR108" s="106">
        <f t="shared" si="1057"/>
        <v>0</v>
      </c>
      <c r="DS108" s="107">
        <f t="shared" si="1058"/>
        <v>0</v>
      </c>
      <c r="DT108" s="108">
        <f t="shared" si="1059"/>
        <v>0</v>
      </c>
      <c r="DU108" s="164">
        <f>SUM(DV108,DX108)</f>
        <v>0</v>
      </c>
      <c r="DV108" s="147"/>
      <c r="DW108" s="161"/>
      <c r="DX108" s="162"/>
      <c r="DY108" s="164">
        <f>SUM(DZ108,EB108)</f>
        <v>0</v>
      </c>
      <c r="DZ108" s="147"/>
      <c r="EA108" s="161"/>
      <c r="EB108" s="162"/>
      <c r="EC108" s="105">
        <f t="shared" si="1060"/>
        <v>0.23</v>
      </c>
      <c r="ED108" s="106">
        <f t="shared" si="1061"/>
        <v>0.23</v>
      </c>
      <c r="EE108" s="107">
        <f t="shared" si="1062"/>
        <v>0</v>
      </c>
      <c r="EF108" s="108">
        <f t="shared" si="1063"/>
        <v>0</v>
      </c>
      <c r="EG108" s="105">
        <f t="shared" si="1064"/>
        <v>0</v>
      </c>
      <c r="EH108" s="106">
        <f t="shared" si="1065"/>
        <v>0</v>
      </c>
      <c r="EI108" s="107">
        <f t="shared" si="1066"/>
        <v>0</v>
      </c>
      <c r="EJ108" s="108">
        <f t="shared" si="1067"/>
        <v>0</v>
      </c>
      <c r="EK108" s="163">
        <f t="shared" si="648"/>
        <v>1.7999999999999988E-2</v>
      </c>
      <c r="EL108" s="163">
        <f t="shared" si="649"/>
        <v>1.7999999999999988E-2</v>
      </c>
      <c r="EM108" s="105">
        <f>SUM(EN108,EP108)</f>
        <v>0.248</v>
      </c>
      <c r="EN108" s="106">
        <f>ER108+0.2</f>
        <v>0.248</v>
      </c>
      <c r="EO108" s="107"/>
      <c r="EP108" s="108"/>
      <c r="EQ108" s="105">
        <f>SUM(ER108,ET108)</f>
        <v>4.8000000000000001E-2</v>
      </c>
      <c r="ER108" s="106">
        <v>4.8000000000000001E-2</v>
      </c>
      <c r="ES108" s="107"/>
      <c r="ET108" s="108"/>
    </row>
    <row r="109" spans="1:150" s="4" customFormat="1" ht="21.65" hidden="1" customHeight="1" x14ac:dyDescent="0.25">
      <c r="A109" s="42" t="s">
        <v>7</v>
      </c>
      <c r="B109" s="52" t="s">
        <v>49</v>
      </c>
      <c r="C109" s="48" t="s">
        <v>186</v>
      </c>
      <c r="D109" s="139" t="s">
        <v>37</v>
      </c>
      <c r="E109" s="105">
        <f>SUM(F109,H109)</f>
        <v>0</v>
      </c>
      <c r="F109" s="106"/>
      <c r="G109" s="107"/>
      <c r="H109" s="108"/>
      <c r="I109" s="105">
        <f>SUM(J109,L109)</f>
        <v>0</v>
      </c>
      <c r="J109" s="106"/>
      <c r="K109" s="107"/>
      <c r="L109" s="108"/>
      <c r="M109" s="105">
        <f>SUM(N109,P109)</f>
        <v>0</v>
      </c>
      <c r="N109" s="106"/>
      <c r="O109" s="107"/>
      <c r="P109" s="108"/>
      <c r="Q109" s="105">
        <f>SUM(R109,T109)</f>
        <v>0</v>
      </c>
      <c r="R109" s="106"/>
      <c r="S109" s="107"/>
      <c r="T109" s="108"/>
      <c r="U109" s="105">
        <f>SUM(V109,X109)</f>
        <v>0</v>
      </c>
      <c r="V109" s="106"/>
      <c r="W109" s="107"/>
      <c r="X109" s="108"/>
      <c r="Y109" s="105">
        <f>SUM(Z109,AB109)</f>
        <v>0</v>
      </c>
      <c r="Z109" s="106"/>
      <c r="AA109" s="107"/>
      <c r="AB109" s="108"/>
      <c r="AC109" s="105">
        <f>SUM(AD109,AF109)</f>
        <v>0</v>
      </c>
      <c r="AD109" s="106"/>
      <c r="AE109" s="107"/>
      <c r="AF109" s="108"/>
      <c r="AG109" s="105">
        <f>SUM(AH109,AJ109)</f>
        <v>0</v>
      </c>
      <c r="AH109" s="106"/>
      <c r="AI109" s="107"/>
      <c r="AJ109" s="108"/>
      <c r="AK109" s="105">
        <f>SUM(AL109,AN109)</f>
        <v>0</v>
      </c>
      <c r="AL109" s="106"/>
      <c r="AM109" s="107"/>
      <c r="AN109" s="108"/>
      <c r="AO109" s="105">
        <f>SUM(AP109,AR109)</f>
        <v>0</v>
      </c>
      <c r="AP109" s="106"/>
      <c r="AQ109" s="107"/>
      <c r="AR109" s="108"/>
      <c r="AS109" s="105">
        <f>SUM(AT109,AV109)</f>
        <v>0</v>
      </c>
      <c r="AT109" s="106"/>
      <c r="AU109" s="107"/>
      <c r="AV109" s="108"/>
      <c r="AW109" s="105">
        <f>SUM(AX109,AZ109)</f>
        <v>0</v>
      </c>
      <c r="AX109" s="106"/>
      <c r="AY109" s="107"/>
      <c r="AZ109" s="108"/>
      <c r="BA109" s="105">
        <f>SUM(BB109,BD109)</f>
        <v>0</v>
      </c>
      <c r="BB109" s="106"/>
      <c r="BC109" s="107"/>
      <c r="BD109" s="108"/>
      <c r="BE109" s="105">
        <f>SUM(BF109,BH109)</f>
        <v>0</v>
      </c>
      <c r="BF109" s="106"/>
      <c r="BG109" s="107"/>
      <c r="BH109" s="108"/>
      <c r="BI109" s="105">
        <f>SUM(BJ109,BL109)</f>
        <v>0</v>
      </c>
      <c r="BJ109" s="106"/>
      <c r="BK109" s="107"/>
      <c r="BL109" s="108"/>
      <c r="BM109" s="105">
        <f>SUM(BN109,BP109)</f>
        <v>0</v>
      </c>
      <c r="BN109" s="106"/>
      <c r="BO109" s="107"/>
      <c r="BP109" s="108"/>
      <c r="BQ109" s="105">
        <f>SUM(BR109,BT109)</f>
        <v>0</v>
      </c>
      <c r="BR109" s="106"/>
      <c r="BS109" s="107"/>
      <c r="BT109" s="108"/>
      <c r="BU109" s="105">
        <f>SUM(BV109,BX109)</f>
        <v>0</v>
      </c>
      <c r="BV109" s="106"/>
      <c r="BW109" s="107"/>
      <c r="BX109" s="108"/>
      <c r="BY109" s="164">
        <f>SUM(BZ109,CB109)</f>
        <v>0</v>
      </c>
      <c r="BZ109" s="147"/>
      <c r="CA109" s="161"/>
      <c r="CB109" s="162"/>
      <c r="CC109" s="164">
        <f>SUM(CD109,CF109)</f>
        <v>0</v>
      </c>
      <c r="CD109" s="147"/>
      <c r="CE109" s="161"/>
      <c r="CF109" s="162"/>
      <c r="CG109" s="105">
        <f>SUM(CH109,CJ109)</f>
        <v>0</v>
      </c>
      <c r="CH109" s="106"/>
      <c r="CI109" s="107"/>
      <c r="CJ109" s="108"/>
      <c r="CK109" s="105">
        <f>SUM(CL109,CN109)</f>
        <v>0</v>
      </c>
      <c r="CL109" s="106"/>
      <c r="CM109" s="107"/>
      <c r="CN109" s="108"/>
      <c r="CO109" s="164">
        <f>SUM(CP109,CR109)</f>
        <v>0</v>
      </c>
      <c r="CP109" s="147"/>
      <c r="CQ109" s="161"/>
      <c r="CR109" s="162"/>
      <c r="CS109" s="164">
        <f>SUM(CT109,CV109)</f>
        <v>0</v>
      </c>
      <c r="CT109" s="147"/>
      <c r="CU109" s="161"/>
      <c r="CV109" s="162"/>
      <c r="CW109" s="105">
        <f>SUM(CX109,CZ109)</f>
        <v>0</v>
      </c>
      <c r="CX109" s="106"/>
      <c r="CY109" s="107"/>
      <c r="CZ109" s="108"/>
      <c r="DA109" s="105">
        <f>SUM(DB109,DD109)</f>
        <v>0</v>
      </c>
      <c r="DB109" s="106"/>
      <c r="DC109" s="107"/>
      <c r="DD109" s="108"/>
      <c r="DE109" s="164">
        <f>SUM(DF109,DH109)</f>
        <v>0</v>
      </c>
      <c r="DF109" s="147"/>
      <c r="DG109" s="161"/>
      <c r="DH109" s="162"/>
      <c r="DI109" s="164">
        <f>SUM(DJ109,DL109)</f>
        <v>0</v>
      </c>
      <c r="DJ109" s="147"/>
      <c r="DK109" s="161"/>
      <c r="DL109" s="162"/>
      <c r="DM109" s="105">
        <f>SUM(DN109,DP109)</f>
        <v>0</v>
      </c>
      <c r="DN109" s="106"/>
      <c r="DO109" s="107"/>
      <c r="DP109" s="108"/>
      <c r="DQ109" s="105">
        <f>SUM(DR109,DT109)</f>
        <v>0</v>
      </c>
      <c r="DR109" s="106"/>
      <c r="DS109" s="107"/>
      <c r="DT109" s="108"/>
      <c r="DU109" s="164">
        <f>SUM(DV109,DX109)</f>
        <v>0</v>
      </c>
      <c r="DV109" s="147"/>
      <c r="DW109" s="161"/>
      <c r="DX109" s="162"/>
      <c r="DY109" s="164">
        <f>SUM(DZ109,EB109)</f>
        <v>0</v>
      </c>
      <c r="DZ109" s="147"/>
      <c r="EA109" s="161"/>
      <c r="EB109" s="162"/>
      <c r="EC109" s="105">
        <f>SUM(ED109,EF109)</f>
        <v>0</v>
      </c>
      <c r="ED109" s="106"/>
      <c r="EE109" s="107"/>
      <c r="EF109" s="108"/>
      <c r="EG109" s="105">
        <f>SUM(EH109,EJ109)</f>
        <v>0</v>
      </c>
      <c r="EH109" s="106"/>
      <c r="EI109" s="107"/>
      <c r="EJ109" s="108"/>
      <c r="EK109" s="153">
        <f t="shared" si="648"/>
        <v>0</v>
      </c>
      <c r="EL109" s="153">
        <f t="shared" si="649"/>
        <v>0</v>
      </c>
      <c r="EM109" s="105">
        <f>SUM(EN109,EP109)</f>
        <v>0</v>
      </c>
      <c r="EN109" s="106"/>
      <c r="EO109" s="107"/>
      <c r="EP109" s="108"/>
      <c r="EQ109" s="105">
        <f>SUM(ER109,ET109)</f>
        <v>0</v>
      </c>
      <c r="ER109" s="106"/>
      <c r="ES109" s="107"/>
      <c r="ET109" s="108"/>
    </row>
    <row r="110" spans="1:150" ht="25.25" customHeight="1" x14ac:dyDescent="0.3">
      <c r="A110" s="46"/>
      <c r="B110" s="33" t="s">
        <v>98</v>
      </c>
      <c r="C110" s="47" t="s">
        <v>105</v>
      </c>
      <c r="D110" s="94"/>
      <c r="E110" s="148">
        <f>SUM(F110,H110)</f>
        <v>784.26900000000001</v>
      </c>
      <c r="F110" s="149">
        <f>SUM(F112:F118)</f>
        <v>699.60300000000007</v>
      </c>
      <c r="G110" s="150">
        <f>SUM(G112:G118)</f>
        <v>555.05100000000004</v>
      </c>
      <c r="H110" s="151">
        <f>SUM(H112:H118)</f>
        <v>84.665999999999997</v>
      </c>
      <c r="I110" s="148">
        <f>SUM(J110,L110)</f>
        <v>176.82900000000001</v>
      </c>
      <c r="J110" s="149">
        <f>SUM(J112:J118)</f>
        <v>92.163000000000011</v>
      </c>
      <c r="K110" s="150">
        <f>SUM(K112:K118)</f>
        <v>32.78</v>
      </c>
      <c r="L110" s="151">
        <f>SUM(L112:L118)</f>
        <v>84.665999999999997</v>
      </c>
      <c r="M110" s="148">
        <f>SUM(N110,P110)</f>
        <v>0</v>
      </c>
      <c r="N110" s="149">
        <f>SUM(N112:N118)</f>
        <v>0</v>
      </c>
      <c r="O110" s="150">
        <f>SUM(O112:O118)</f>
        <v>0</v>
      </c>
      <c r="P110" s="151">
        <f>SUM(P112:P118)</f>
        <v>0</v>
      </c>
      <c r="Q110" s="148">
        <f>SUM(R110,T110)</f>
        <v>0</v>
      </c>
      <c r="R110" s="149">
        <f>SUM(R112:R118)</f>
        <v>0</v>
      </c>
      <c r="S110" s="150">
        <f>SUM(S112:S118)</f>
        <v>0</v>
      </c>
      <c r="T110" s="151">
        <f>SUM(T112:T118)</f>
        <v>0</v>
      </c>
      <c r="U110" s="148">
        <f>SUM(V110,X110)</f>
        <v>784.26900000000001</v>
      </c>
      <c r="V110" s="149">
        <f>SUM(V112:V118)</f>
        <v>699.60300000000007</v>
      </c>
      <c r="W110" s="150">
        <f>SUM(W112:W118)</f>
        <v>555.05100000000004</v>
      </c>
      <c r="X110" s="151">
        <f>SUM(X112:X118)</f>
        <v>84.665999999999997</v>
      </c>
      <c r="Y110" s="148">
        <f>SUM(Z110,AB110)</f>
        <v>176.82900000000001</v>
      </c>
      <c r="Z110" s="149">
        <f>SUM(Z112:Z118)</f>
        <v>92.163000000000011</v>
      </c>
      <c r="AA110" s="150">
        <f>SUM(AA112:AA118)</f>
        <v>32.78</v>
      </c>
      <c r="AB110" s="151">
        <f>SUM(AB112:AB118)</f>
        <v>84.665999999999997</v>
      </c>
      <c r="AC110" s="148">
        <f>SUM(AD110,AF110)</f>
        <v>0.98699999999999999</v>
      </c>
      <c r="AD110" s="149">
        <f>SUM(AD112:AD118)</f>
        <v>0.98699999999999999</v>
      </c>
      <c r="AE110" s="150">
        <f>SUM(AE112:AE118)</f>
        <v>0</v>
      </c>
      <c r="AF110" s="151">
        <f>SUM(AF112:AF118)</f>
        <v>0</v>
      </c>
      <c r="AG110" s="148">
        <f>SUM(AH110,AJ110)</f>
        <v>0</v>
      </c>
      <c r="AH110" s="149">
        <f>SUM(AH112:AH118)</f>
        <v>0</v>
      </c>
      <c r="AI110" s="150">
        <f>SUM(AI112:AI118)</f>
        <v>0</v>
      </c>
      <c r="AJ110" s="151">
        <f>SUM(AJ112:AJ118)</f>
        <v>0</v>
      </c>
      <c r="AK110" s="148">
        <f>SUM(AL110,AN110)</f>
        <v>785.25600000000009</v>
      </c>
      <c r="AL110" s="149">
        <f>SUM(AL112:AL118)</f>
        <v>700.59000000000015</v>
      </c>
      <c r="AM110" s="150">
        <f>SUM(AM112:AM118)</f>
        <v>555.05100000000004</v>
      </c>
      <c r="AN110" s="151">
        <f>SUM(AN112:AN118)</f>
        <v>84.665999999999997</v>
      </c>
      <c r="AO110" s="148">
        <f>SUM(AP110,AR110)</f>
        <v>176.82900000000001</v>
      </c>
      <c r="AP110" s="149">
        <f>SUM(AP112:AP118)</f>
        <v>92.163000000000011</v>
      </c>
      <c r="AQ110" s="150">
        <f>SUM(AQ112:AQ118)</f>
        <v>32.78</v>
      </c>
      <c r="AR110" s="151">
        <f>SUM(AR112:AR118)</f>
        <v>84.665999999999997</v>
      </c>
      <c r="AS110" s="148">
        <f>SUM(AT110,AV110)</f>
        <v>4.6459999999999999</v>
      </c>
      <c r="AT110" s="149">
        <f>SUM(AT112:AT118)</f>
        <v>4.6459999999999999</v>
      </c>
      <c r="AU110" s="150">
        <f>SUM(AU112:AU118)</f>
        <v>2.3439999999999999</v>
      </c>
      <c r="AV110" s="151">
        <f>SUM(AV112:AV118)</f>
        <v>0</v>
      </c>
      <c r="AW110" s="148">
        <f>SUM(AX110,AZ110)</f>
        <v>0</v>
      </c>
      <c r="AX110" s="149">
        <f>SUM(AX112:AX118)</f>
        <v>0</v>
      </c>
      <c r="AY110" s="150">
        <f>SUM(AY112:AY118)</f>
        <v>0</v>
      </c>
      <c r="AZ110" s="151">
        <f>SUM(AZ112:AZ118)</f>
        <v>0</v>
      </c>
      <c r="BA110" s="148">
        <f>SUM(BB110,BD110)</f>
        <v>789.90200000000004</v>
      </c>
      <c r="BB110" s="149">
        <f>SUM(BB112:BB118)</f>
        <v>705.2360000000001</v>
      </c>
      <c r="BC110" s="150">
        <f>SUM(BC112:BC118)</f>
        <v>557.39499999999998</v>
      </c>
      <c r="BD110" s="151">
        <f>SUM(BD112:BD118)</f>
        <v>84.665999999999997</v>
      </c>
      <c r="BE110" s="148">
        <f>SUM(BF110,BH110)</f>
        <v>176.82900000000001</v>
      </c>
      <c r="BF110" s="149">
        <f>SUM(BF112:BF118)</f>
        <v>92.163000000000011</v>
      </c>
      <c r="BG110" s="150">
        <f>SUM(BG112:BG118)</f>
        <v>32.78</v>
      </c>
      <c r="BH110" s="151">
        <f>SUM(BH112:BH118)</f>
        <v>84.665999999999997</v>
      </c>
      <c r="BI110" s="148">
        <f>SUM(BJ110,BL110)</f>
        <v>13.788</v>
      </c>
      <c r="BJ110" s="149">
        <f>SUM(BJ112:BJ118)</f>
        <v>3.8159999999999998</v>
      </c>
      <c r="BK110" s="150">
        <f>SUM(BK112:BK118)</f>
        <v>0</v>
      </c>
      <c r="BL110" s="151">
        <f>SUM(BL112:BL118)</f>
        <v>9.9719999999999995</v>
      </c>
      <c r="BM110" s="148">
        <f>SUM(BN110,BP110)</f>
        <v>0</v>
      </c>
      <c r="BN110" s="149">
        <f>SUM(BN112:BN118)</f>
        <v>0</v>
      </c>
      <c r="BO110" s="150">
        <f>SUM(BO112:BO118)</f>
        <v>0</v>
      </c>
      <c r="BP110" s="151">
        <f>SUM(BP112:BP118)</f>
        <v>0</v>
      </c>
      <c r="BQ110" s="148">
        <f>SUM(BR110,BT110)</f>
        <v>803.69</v>
      </c>
      <c r="BR110" s="149">
        <f>SUM(BR112:BR118)</f>
        <v>709.05200000000002</v>
      </c>
      <c r="BS110" s="150">
        <f>SUM(BS112:BS118)</f>
        <v>557.39499999999998</v>
      </c>
      <c r="BT110" s="151">
        <f>SUM(BT112:BT118)</f>
        <v>94.637999999999991</v>
      </c>
      <c r="BU110" s="148">
        <f>SUM(BV110,BX110)</f>
        <v>176.82900000000001</v>
      </c>
      <c r="BV110" s="149">
        <f>SUM(BV112:BV118)</f>
        <v>92.163000000000011</v>
      </c>
      <c r="BW110" s="150">
        <f>SUM(BW112:BW118)</f>
        <v>32.78</v>
      </c>
      <c r="BX110" s="151">
        <f>SUM(BX112:BX118)</f>
        <v>84.665999999999997</v>
      </c>
      <c r="BY110" s="175">
        <f>SUM(BZ110,CB110)</f>
        <v>0.55000000000000004</v>
      </c>
      <c r="BZ110" s="176">
        <f>SUM(BZ112:BZ118)</f>
        <v>0.55000000000000004</v>
      </c>
      <c r="CA110" s="177">
        <f>SUM(CA112:CA118)</f>
        <v>0</v>
      </c>
      <c r="CB110" s="178">
        <f>SUM(CB112:CB118)</f>
        <v>0</v>
      </c>
      <c r="CC110" s="175">
        <f>SUM(CD110,CF110)</f>
        <v>0</v>
      </c>
      <c r="CD110" s="176">
        <f>SUM(CD112:CD118)</f>
        <v>0</v>
      </c>
      <c r="CE110" s="177">
        <f>SUM(CE112:CE118)</f>
        <v>0</v>
      </c>
      <c r="CF110" s="178">
        <f>SUM(CF112:CF118)</f>
        <v>0</v>
      </c>
      <c r="CG110" s="148">
        <f>SUM(CH110,CJ110)</f>
        <v>804.24</v>
      </c>
      <c r="CH110" s="149">
        <f>SUM(CH112:CH118)</f>
        <v>709.60199999999998</v>
      </c>
      <c r="CI110" s="150">
        <f>SUM(CI112:CI118)</f>
        <v>557.39499999999998</v>
      </c>
      <c r="CJ110" s="151">
        <f>SUM(CJ112:CJ118)</f>
        <v>94.637999999999991</v>
      </c>
      <c r="CK110" s="148">
        <f>SUM(CL110,CN110)</f>
        <v>176.82900000000001</v>
      </c>
      <c r="CL110" s="149">
        <f>SUM(CL112:CL118)</f>
        <v>92.163000000000011</v>
      </c>
      <c r="CM110" s="150">
        <f>SUM(CM112:CM118)</f>
        <v>32.78</v>
      </c>
      <c r="CN110" s="151">
        <f>SUM(CN112:CN118)</f>
        <v>84.665999999999997</v>
      </c>
      <c r="CO110" s="175">
        <f>SUM(CP110,CR110)</f>
        <v>8.1909999999999989</v>
      </c>
      <c r="CP110" s="176">
        <f>SUM(CP112:CP118)</f>
        <v>8.0659999999999989</v>
      </c>
      <c r="CQ110" s="177">
        <f>SUM(CQ112:CQ118)</f>
        <v>2.2549999999999999</v>
      </c>
      <c r="CR110" s="178">
        <f>SUM(CR112:CR118)</f>
        <v>0.125</v>
      </c>
      <c r="CS110" s="175">
        <f>SUM(CT110,CV110)</f>
        <v>0</v>
      </c>
      <c r="CT110" s="176">
        <f>SUM(CT112:CT118)</f>
        <v>1.075</v>
      </c>
      <c r="CU110" s="177">
        <f>SUM(CU112:CU118)</f>
        <v>1.0620000000000001</v>
      </c>
      <c r="CV110" s="178">
        <f>SUM(CV112:CV118)</f>
        <v>-1.075</v>
      </c>
      <c r="CW110" s="148">
        <f>SUM(CX110,CZ110)</f>
        <v>812.43099999999993</v>
      </c>
      <c r="CX110" s="149">
        <f>SUM(CX112:CX118)</f>
        <v>717.66799999999989</v>
      </c>
      <c r="CY110" s="150">
        <f>SUM(CY112:CY118)</f>
        <v>559.65</v>
      </c>
      <c r="CZ110" s="151">
        <f>SUM(CZ112:CZ118)</f>
        <v>94.762999999999991</v>
      </c>
      <c r="DA110" s="148">
        <f>SUM(DB110,DD110)</f>
        <v>176.82900000000001</v>
      </c>
      <c r="DB110" s="149">
        <f>SUM(DB112:DB118)</f>
        <v>93.238</v>
      </c>
      <c r="DC110" s="150">
        <f>SUM(DC112:DC118)</f>
        <v>33.841999999999999</v>
      </c>
      <c r="DD110" s="151">
        <f>SUM(DD112:DD118)</f>
        <v>83.590999999999994</v>
      </c>
      <c r="DE110" s="175">
        <f>SUM(DF110,DH110)</f>
        <v>2.4500000000000002</v>
      </c>
      <c r="DF110" s="176">
        <f>SUM(DF112:DF118)</f>
        <v>2.4500000000000002</v>
      </c>
      <c r="DG110" s="177">
        <f>SUM(DG112:DG118)</f>
        <v>2.42</v>
      </c>
      <c r="DH110" s="178">
        <f>SUM(DH112:DH118)</f>
        <v>0</v>
      </c>
      <c r="DI110" s="175">
        <f>SUM(DJ110,DL110)</f>
        <v>0</v>
      </c>
      <c r="DJ110" s="176">
        <f>SUM(DJ112:DJ118)</f>
        <v>0</v>
      </c>
      <c r="DK110" s="177">
        <f>SUM(DK112:DK118)</f>
        <v>0</v>
      </c>
      <c r="DL110" s="178">
        <f>SUM(DL112:DL118)</f>
        <v>0</v>
      </c>
      <c r="DM110" s="148">
        <f>SUM(DN110,DP110)</f>
        <v>814.88099999999997</v>
      </c>
      <c r="DN110" s="149">
        <f>SUM(DN112:DN118)</f>
        <v>720.11799999999994</v>
      </c>
      <c r="DO110" s="150">
        <f>SUM(DO112:DO118)</f>
        <v>562.07000000000005</v>
      </c>
      <c r="DP110" s="151">
        <f>SUM(DP112:DP118)</f>
        <v>94.762999999999991</v>
      </c>
      <c r="DQ110" s="148">
        <f>SUM(DR110,DT110)</f>
        <v>176.82900000000001</v>
      </c>
      <c r="DR110" s="149">
        <f>SUM(DR112:DR118)</f>
        <v>93.238</v>
      </c>
      <c r="DS110" s="150">
        <f>SUM(DS112:DS118)</f>
        <v>33.841999999999999</v>
      </c>
      <c r="DT110" s="151">
        <f>SUM(DT112:DT118)</f>
        <v>83.590999999999994</v>
      </c>
      <c r="DU110" s="175">
        <f>SUM(DV110,DX110)</f>
        <v>0.156</v>
      </c>
      <c r="DV110" s="176">
        <f>SUM(DV112:DV118)</f>
        <v>0.156</v>
      </c>
      <c r="DW110" s="177">
        <f>SUM(DW112:DW118)</f>
        <v>0.13600000000000001</v>
      </c>
      <c r="DX110" s="178">
        <f>SUM(DX112:DX118)</f>
        <v>0</v>
      </c>
      <c r="DY110" s="175">
        <f>SUM(DZ110,EB110)</f>
        <v>0</v>
      </c>
      <c r="DZ110" s="176">
        <f>SUM(DZ112:DZ118)</f>
        <v>0</v>
      </c>
      <c r="EA110" s="177">
        <f>SUM(EA112:EA118)</f>
        <v>0</v>
      </c>
      <c r="EB110" s="178">
        <f>SUM(EB112:EB118)</f>
        <v>0</v>
      </c>
      <c r="EC110" s="148">
        <f>SUM(ED110,EF110)</f>
        <v>815.03700000000003</v>
      </c>
      <c r="ED110" s="149">
        <f>SUM(ED112:ED118)</f>
        <v>720.274</v>
      </c>
      <c r="EE110" s="150">
        <f>SUM(EE112:EE118)</f>
        <v>562.20600000000002</v>
      </c>
      <c r="EF110" s="151">
        <f>SUM(EF112:EF118)</f>
        <v>94.762999999999991</v>
      </c>
      <c r="EG110" s="148">
        <f>SUM(EH110,EJ110)</f>
        <v>176.82900000000001</v>
      </c>
      <c r="EH110" s="149">
        <f>SUM(EH112:EH118)</f>
        <v>93.238</v>
      </c>
      <c r="EI110" s="150">
        <f>SUM(EI112:EI118)</f>
        <v>33.841999999999999</v>
      </c>
      <c r="EJ110" s="151">
        <f>SUM(EJ112:EJ118)</f>
        <v>83.590999999999994</v>
      </c>
      <c r="EK110" s="152">
        <f t="shared" si="648"/>
        <v>-55.78999999999985</v>
      </c>
      <c r="EL110" s="152">
        <f t="shared" si="649"/>
        <v>-86.557999999999879</v>
      </c>
      <c r="EM110" s="148">
        <f>SUM(EN110,EP110)</f>
        <v>728.47900000000016</v>
      </c>
      <c r="EN110" s="149">
        <f>SUM(EN112:EN119)</f>
        <v>713.15900000000011</v>
      </c>
      <c r="EO110" s="150">
        <f>SUM(EO112:EO118)</f>
        <v>609.84</v>
      </c>
      <c r="EP110" s="151">
        <f>SUM(EP112:EP119)</f>
        <v>15.32</v>
      </c>
      <c r="EQ110" s="148">
        <f>SUM(ER110,ET110)</f>
        <v>54.036999999999999</v>
      </c>
      <c r="ER110" s="149">
        <f>SUM(ER112:ER118)</f>
        <v>42.036999999999999</v>
      </c>
      <c r="ES110" s="150">
        <f>SUM(ES112:ES118)</f>
        <v>31.39</v>
      </c>
      <c r="ET110" s="151">
        <f>SUM(ET112:ET118)</f>
        <v>12</v>
      </c>
    </row>
    <row r="111" spans="1:150" ht="17.399999999999999" customHeight="1" x14ac:dyDescent="0.3">
      <c r="A111" s="50"/>
      <c r="B111" s="6" t="s">
        <v>2</v>
      </c>
      <c r="C111" s="51"/>
      <c r="D111" s="94"/>
      <c r="E111" s="105"/>
      <c r="F111" s="106"/>
      <c r="G111" s="107"/>
      <c r="H111" s="108"/>
      <c r="I111" s="105"/>
      <c r="J111" s="106"/>
      <c r="K111" s="107"/>
      <c r="L111" s="108"/>
      <c r="M111" s="105"/>
      <c r="N111" s="106"/>
      <c r="O111" s="107"/>
      <c r="P111" s="108"/>
      <c r="Q111" s="105"/>
      <c r="R111" s="106"/>
      <c r="S111" s="107"/>
      <c r="T111" s="108"/>
      <c r="U111" s="105"/>
      <c r="V111" s="106"/>
      <c r="W111" s="107"/>
      <c r="X111" s="108"/>
      <c r="Y111" s="105"/>
      <c r="Z111" s="106"/>
      <c r="AA111" s="107"/>
      <c r="AB111" s="108"/>
      <c r="AC111" s="105"/>
      <c r="AD111" s="106"/>
      <c r="AE111" s="107"/>
      <c r="AF111" s="108"/>
      <c r="AG111" s="105"/>
      <c r="AH111" s="106"/>
      <c r="AI111" s="107"/>
      <c r="AJ111" s="108"/>
      <c r="AK111" s="105"/>
      <c r="AL111" s="106"/>
      <c r="AM111" s="107"/>
      <c r="AN111" s="108"/>
      <c r="AO111" s="105"/>
      <c r="AP111" s="106"/>
      <c r="AQ111" s="107"/>
      <c r="AR111" s="108"/>
      <c r="AS111" s="105"/>
      <c r="AT111" s="106"/>
      <c r="AU111" s="107"/>
      <c r="AV111" s="108"/>
      <c r="AW111" s="105"/>
      <c r="AX111" s="106"/>
      <c r="AY111" s="107"/>
      <c r="AZ111" s="108"/>
      <c r="BA111" s="105"/>
      <c r="BB111" s="106"/>
      <c r="BC111" s="107"/>
      <c r="BD111" s="108"/>
      <c r="BE111" s="105"/>
      <c r="BF111" s="106"/>
      <c r="BG111" s="107"/>
      <c r="BH111" s="108"/>
      <c r="BI111" s="105"/>
      <c r="BJ111" s="106"/>
      <c r="BK111" s="107"/>
      <c r="BL111" s="108"/>
      <c r="BM111" s="105"/>
      <c r="BN111" s="106"/>
      <c r="BO111" s="107"/>
      <c r="BP111" s="108"/>
      <c r="BQ111" s="105"/>
      <c r="BR111" s="106"/>
      <c r="BS111" s="107"/>
      <c r="BT111" s="108"/>
      <c r="BU111" s="105"/>
      <c r="BV111" s="106"/>
      <c r="BW111" s="107"/>
      <c r="BX111" s="108"/>
      <c r="BY111" s="164"/>
      <c r="BZ111" s="147"/>
      <c r="CA111" s="161"/>
      <c r="CB111" s="162"/>
      <c r="CC111" s="164"/>
      <c r="CD111" s="147"/>
      <c r="CE111" s="161"/>
      <c r="CF111" s="162"/>
      <c r="CG111" s="105"/>
      <c r="CH111" s="106"/>
      <c r="CI111" s="107"/>
      <c r="CJ111" s="108"/>
      <c r="CK111" s="105"/>
      <c r="CL111" s="106"/>
      <c r="CM111" s="107"/>
      <c r="CN111" s="108"/>
      <c r="CO111" s="164"/>
      <c r="CP111" s="147"/>
      <c r="CQ111" s="161"/>
      <c r="CR111" s="162"/>
      <c r="CS111" s="164"/>
      <c r="CT111" s="147"/>
      <c r="CU111" s="161"/>
      <c r="CV111" s="162"/>
      <c r="CW111" s="105"/>
      <c r="CX111" s="106"/>
      <c r="CY111" s="107"/>
      <c r="CZ111" s="108"/>
      <c r="DA111" s="105"/>
      <c r="DB111" s="106"/>
      <c r="DC111" s="107"/>
      <c r="DD111" s="108"/>
      <c r="DE111" s="164"/>
      <c r="DF111" s="147"/>
      <c r="DG111" s="161"/>
      <c r="DH111" s="162"/>
      <c r="DI111" s="164"/>
      <c r="DJ111" s="147"/>
      <c r="DK111" s="161"/>
      <c r="DL111" s="162"/>
      <c r="DM111" s="105"/>
      <c r="DN111" s="106"/>
      <c r="DO111" s="107"/>
      <c r="DP111" s="108"/>
      <c r="DQ111" s="105"/>
      <c r="DR111" s="106"/>
      <c r="DS111" s="107"/>
      <c r="DT111" s="108"/>
      <c r="DU111" s="164"/>
      <c r="DV111" s="147"/>
      <c r="DW111" s="161"/>
      <c r="DX111" s="162"/>
      <c r="DY111" s="164"/>
      <c r="DZ111" s="147"/>
      <c r="EA111" s="161"/>
      <c r="EB111" s="162"/>
      <c r="EC111" s="105"/>
      <c r="ED111" s="106"/>
      <c r="EE111" s="107"/>
      <c r="EF111" s="108"/>
      <c r="EG111" s="105"/>
      <c r="EH111" s="106"/>
      <c r="EI111" s="107"/>
      <c r="EJ111" s="108"/>
      <c r="EK111" s="153">
        <f t="shared" si="648"/>
        <v>0</v>
      </c>
      <c r="EL111" s="153">
        <f t="shared" si="649"/>
        <v>0</v>
      </c>
      <c r="EM111" s="105"/>
      <c r="EN111" s="106"/>
      <c r="EO111" s="107"/>
      <c r="EP111" s="108"/>
      <c r="EQ111" s="105"/>
      <c r="ER111" s="106"/>
      <c r="ES111" s="107"/>
      <c r="ET111" s="108"/>
    </row>
    <row r="112" spans="1:150" s="4" customFormat="1" ht="18.75" customHeight="1" x14ac:dyDescent="0.25">
      <c r="A112" s="704" t="s">
        <v>26</v>
      </c>
      <c r="B112" s="702" t="s">
        <v>42</v>
      </c>
      <c r="C112" s="48" t="s">
        <v>75</v>
      </c>
      <c r="D112" s="93" t="s">
        <v>37</v>
      </c>
      <c r="E112" s="105">
        <f t="shared" ref="E112:E120" si="1076">SUM(F112,H112)</f>
        <v>529.02</v>
      </c>
      <c r="F112" s="106">
        <f>516.52+12.5</f>
        <v>529.02</v>
      </c>
      <c r="G112" s="107">
        <f>456.85+12.321-3.5</f>
        <v>465.67100000000005</v>
      </c>
      <c r="H112" s="108"/>
      <c r="I112" s="105">
        <f t="shared" ref="I112:I120" si="1077">SUM(J112,L112)</f>
        <v>0</v>
      </c>
      <c r="J112" s="106"/>
      <c r="K112" s="107"/>
      <c r="L112" s="108"/>
      <c r="M112" s="105">
        <f t="shared" ref="M112:M113" si="1078">SUM(N112,P112)</f>
        <v>0</v>
      </c>
      <c r="N112" s="106"/>
      <c r="O112" s="107"/>
      <c r="P112" s="108"/>
      <c r="Q112" s="105">
        <f t="shared" ref="Q112:Q113" si="1079">SUM(R112,T112)</f>
        <v>0</v>
      </c>
      <c r="R112" s="106"/>
      <c r="S112" s="107"/>
      <c r="T112" s="108"/>
      <c r="U112" s="105">
        <f t="shared" ref="U112" si="1080">SUM(V112,X112)</f>
        <v>529.02</v>
      </c>
      <c r="V112" s="106">
        <f t="shared" ref="V112" si="1081">F112+N112</f>
        <v>529.02</v>
      </c>
      <c r="W112" s="107">
        <f t="shared" ref="W112" si="1082">G112+O112</f>
        <v>465.67100000000005</v>
      </c>
      <c r="X112" s="108">
        <f t="shared" ref="X112" si="1083">H112+P112</f>
        <v>0</v>
      </c>
      <c r="Y112" s="105">
        <f t="shared" ref="Y112" si="1084">SUM(Z112,AB112)</f>
        <v>0</v>
      </c>
      <c r="Z112" s="106">
        <f t="shared" ref="Z112" si="1085">J112+R112</f>
        <v>0</v>
      </c>
      <c r="AA112" s="107">
        <f t="shared" ref="AA112" si="1086">K112+S112</f>
        <v>0</v>
      </c>
      <c r="AB112" s="108">
        <f t="shared" ref="AB112" si="1087">L112+T112</f>
        <v>0</v>
      </c>
      <c r="AC112" s="105">
        <f t="shared" ref="AC112:AC115" si="1088">SUM(AD112,AF112)</f>
        <v>0.96899999999999997</v>
      </c>
      <c r="AD112" s="106">
        <v>0.96899999999999997</v>
      </c>
      <c r="AE112" s="107"/>
      <c r="AF112" s="108"/>
      <c r="AG112" s="105">
        <f t="shared" ref="AG112:AG113" si="1089">SUM(AH112,AJ112)</f>
        <v>0</v>
      </c>
      <c r="AH112" s="106"/>
      <c r="AI112" s="107"/>
      <c r="AJ112" s="108"/>
      <c r="AK112" s="105">
        <f t="shared" ref="AK112:AK120" si="1090">SUM(AL112,AN112)</f>
        <v>529.98900000000003</v>
      </c>
      <c r="AL112" s="106">
        <f t="shared" ref="AL112:AL118" si="1091">V112+AD112</f>
        <v>529.98900000000003</v>
      </c>
      <c r="AM112" s="107">
        <f t="shared" ref="AM112:AM118" si="1092">W112+AE112</f>
        <v>465.67100000000005</v>
      </c>
      <c r="AN112" s="108">
        <f t="shared" ref="AN112:AN118" si="1093">X112+AF112</f>
        <v>0</v>
      </c>
      <c r="AO112" s="105">
        <f t="shared" ref="AO112:AO120" si="1094">SUM(AP112,AR112)</f>
        <v>0</v>
      </c>
      <c r="AP112" s="106">
        <f t="shared" ref="AP112:AP118" si="1095">Z112+AH112</f>
        <v>0</v>
      </c>
      <c r="AQ112" s="107">
        <f t="shared" ref="AQ112:AQ118" si="1096">AA112+AI112</f>
        <v>0</v>
      </c>
      <c r="AR112" s="108">
        <f t="shared" ref="AR112:AR118" si="1097">AB112+AJ112</f>
        <v>0</v>
      </c>
      <c r="AS112" s="105">
        <f t="shared" ref="AS112:AS120" si="1098">SUM(AT112,AV112)</f>
        <v>4.6459999999999999</v>
      </c>
      <c r="AT112" s="106">
        <v>4.6459999999999999</v>
      </c>
      <c r="AU112" s="107">
        <v>2.3439999999999999</v>
      </c>
      <c r="AV112" s="108"/>
      <c r="AW112" s="105">
        <f t="shared" ref="AW112:AW113" si="1099">SUM(AX112,AZ112)</f>
        <v>0</v>
      </c>
      <c r="AX112" s="106"/>
      <c r="AY112" s="107"/>
      <c r="AZ112" s="108"/>
      <c r="BA112" s="105">
        <f t="shared" ref="BA112:BA120" si="1100">SUM(BB112,BD112)</f>
        <v>534.63499999999999</v>
      </c>
      <c r="BB112" s="106">
        <f t="shared" ref="BB112:BB118" si="1101">AL112+AT112</f>
        <v>534.63499999999999</v>
      </c>
      <c r="BC112" s="107">
        <f t="shared" ref="BC112:BC118" si="1102">AM112+AU112</f>
        <v>468.01500000000004</v>
      </c>
      <c r="BD112" s="108">
        <f t="shared" ref="BD112:BD118" si="1103">AN112+AV112</f>
        <v>0</v>
      </c>
      <c r="BE112" s="105">
        <f t="shared" ref="BE112:BE120" si="1104">SUM(BF112,BH112)</f>
        <v>0</v>
      </c>
      <c r="BF112" s="106">
        <f t="shared" ref="BF112:BF118" si="1105">AP112+AX112</f>
        <v>0</v>
      </c>
      <c r="BG112" s="107">
        <f t="shared" ref="BG112:BG118" si="1106">AQ112+AY112</f>
        <v>0</v>
      </c>
      <c r="BH112" s="108">
        <f t="shared" ref="BH112:BH118" si="1107">AR112+AZ112</f>
        <v>0</v>
      </c>
      <c r="BI112" s="105">
        <f t="shared" ref="BI112:BI120" si="1108">SUM(BJ112,BL112)</f>
        <v>0</v>
      </c>
      <c r="BJ112" s="106"/>
      <c r="BK112" s="107"/>
      <c r="BL112" s="108"/>
      <c r="BM112" s="105">
        <f t="shared" ref="BM112:BM113" si="1109">SUM(BN112,BP112)</f>
        <v>0</v>
      </c>
      <c r="BN112" s="106"/>
      <c r="BO112" s="107"/>
      <c r="BP112" s="108"/>
      <c r="BQ112" s="105">
        <f t="shared" ref="BQ112:BQ120" si="1110">SUM(BR112,BT112)</f>
        <v>534.63499999999999</v>
      </c>
      <c r="BR112" s="106">
        <f t="shared" ref="BR112:BR118" si="1111">BB112+BJ112</f>
        <v>534.63499999999999</v>
      </c>
      <c r="BS112" s="107">
        <f t="shared" ref="BS112:BS118" si="1112">BC112+BK112</f>
        <v>468.01500000000004</v>
      </c>
      <c r="BT112" s="108">
        <f t="shared" ref="BT112:BT118" si="1113">BD112+BL112</f>
        <v>0</v>
      </c>
      <c r="BU112" s="105">
        <f t="shared" ref="BU112:BU120" si="1114">SUM(BV112,BX112)</f>
        <v>0</v>
      </c>
      <c r="BV112" s="106">
        <f t="shared" ref="BV112:BV118" si="1115">BF112+BN112</f>
        <v>0</v>
      </c>
      <c r="BW112" s="107">
        <f t="shared" ref="BW112:BW118" si="1116">BG112+BO112</f>
        <v>0</v>
      </c>
      <c r="BX112" s="108">
        <f t="shared" ref="BX112:BX118" si="1117">BH112+BP112</f>
        <v>0</v>
      </c>
      <c r="BY112" s="164">
        <f t="shared" ref="BY112:BY120" si="1118">SUM(BZ112,CB112)</f>
        <v>0</v>
      </c>
      <c r="BZ112" s="147"/>
      <c r="CA112" s="161"/>
      <c r="CB112" s="162"/>
      <c r="CC112" s="164">
        <f t="shared" ref="CC112:CC113" si="1119">SUM(CD112,CF112)</f>
        <v>0</v>
      </c>
      <c r="CD112" s="147"/>
      <c r="CE112" s="161"/>
      <c r="CF112" s="162"/>
      <c r="CG112" s="105">
        <f t="shared" ref="CG112:CG120" si="1120">SUM(CH112,CJ112)</f>
        <v>534.63499999999999</v>
      </c>
      <c r="CH112" s="106">
        <f t="shared" ref="CH112:CH118" si="1121">BR112+BZ112</f>
        <v>534.63499999999999</v>
      </c>
      <c r="CI112" s="107">
        <f t="shared" ref="CI112:CI118" si="1122">BS112+CA112</f>
        <v>468.01500000000004</v>
      </c>
      <c r="CJ112" s="108">
        <f t="shared" ref="CJ112:CJ118" si="1123">BT112+CB112</f>
        <v>0</v>
      </c>
      <c r="CK112" s="105">
        <f t="shared" ref="CK112:CK120" si="1124">SUM(CL112,CN112)</f>
        <v>0</v>
      </c>
      <c r="CL112" s="106">
        <f t="shared" ref="CL112:CL118" si="1125">BV112+CD112</f>
        <v>0</v>
      </c>
      <c r="CM112" s="107">
        <f t="shared" ref="CM112:CM118" si="1126">BW112+CE112</f>
        <v>0</v>
      </c>
      <c r="CN112" s="108">
        <f t="shared" ref="CN112:CN118" si="1127">BX112+CF112</f>
        <v>0</v>
      </c>
      <c r="CO112" s="164">
        <f>SUM(CP112,CR112)</f>
        <v>2.71</v>
      </c>
      <c r="CP112" s="147">
        <f>0.558+0.952</f>
        <v>1.51</v>
      </c>
      <c r="CQ112" s="161">
        <f>0.55+0.643</f>
        <v>1.1930000000000001</v>
      </c>
      <c r="CR112" s="162">
        <v>1.2</v>
      </c>
      <c r="CS112" s="164">
        <f t="shared" ref="CS112:CS113" si="1128">SUM(CT112,CV112)</f>
        <v>0</v>
      </c>
      <c r="CT112" s="147"/>
      <c r="CU112" s="161"/>
      <c r="CV112" s="162"/>
      <c r="CW112" s="105">
        <f t="shared" ref="CW112:CW120" si="1129">SUM(CX112,CZ112)</f>
        <v>537.34500000000003</v>
      </c>
      <c r="CX112" s="106">
        <f t="shared" ref="CX112:CX118" si="1130">CH112+CP112</f>
        <v>536.14499999999998</v>
      </c>
      <c r="CY112" s="107">
        <f t="shared" ref="CY112:CY118" si="1131">CI112+CQ112</f>
        <v>469.20800000000003</v>
      </c>
      <c r="CZ112" s="108">
        <f t="shared" ref="CZ112:CZ118" si="1132">CJ112+CR112</f>
        <v>1.2</v>
      </c>
      <c r="DA112" s="105">
        <f t="shared" ref="DA112:DA120" si="1133">SUM(DB112,DD112)</f>
        <v>0</v>
      </c>
      <c r="DB112" s="106">
        <f t="shared" ref="DB112:DB118" si="1134">CL112+CT112</f>
        <v>0</v>
      </c>
      <c r="DC112" s="107">
        <f t="shared" ref="DC112:DC118" si="1135">CM112+CU112</f>
        <v>0</v>
      </c>
      <c r="DD112" s="108">
        <f t="shared" ref="DD112:DD118" si="1136">CN112+CV112</f>
        <v>0</v>
      </c>
      <c r="DE112" s="164">
        <f>SUM(DF112,DH112)</f>
        <v>2.4500000000000002</v>
      </c>
      <c r="DF112" s="147">
        <v>2.4500000000000002</v>
      </c>
      <c r="DG112" s="161">
        <v>2.42</v>
      </c>
      <c r="DH112" s="162"/>
      <c r="DI112" s="164">
        <f t="shared" ref="DI112:DI113" si="1137">SUM(DJ112,DL112)</f>
        <v>0</v>
      </c>
      <c r="DJ112" s="147"/>
      <c r="DK112" s="161"/>
      <c r="DL112" s="162"/>
      <c r="DM112" s="105">
        <f t="shared" ref="DM112:DM120" si="1138">SUM(DN112,DP112)</f>
        <v>539.79500000000007</v>
      </c>
      <c r="DN112" s="106">
        <f t="shared" ref="DN112:DN118" si="1139">CX112+DF112</f>
        <v>538.59500000000003</v>
      </c>
      <c r="DO112" s="107">
        <f t="shared" ref="DO112:DO118" si="1140">CY112+DG112</f>
        <v>471.62800000000004</v>
      </c>
      <c r="DP112" s="108">
        <f t="shared" ref="DP112:DP118" si="1141">CZ112+DH112</f>
        <v>1.2</v>
      </c>
      <c r="DQ112" s="105">
        <f t="shared" ref="DQ112:DQ120" si="1142">SUM(DR112,DT112)</f>
        <v>0</v>
      </c>
      <c r="DR112" s="106">
        <f t="shared" ref="DR112:DR118" si="1143">DB112+DJ112</f>
        <v>0</v>
      </c>
      <c r="DS112" s="107">
        <f t="shared" ref="DS112:DS118" si="1144">DC112+DK112</f>
        <v>0</v>
      </c>
      <c r="DT112" s="108">
        <f t="shared" ref="DT112:DT118" si="1145">DD112+DL112</f>
        <v>0</v>
      </c>
      <c r="DU112" s="164">
        <f>SUM(DV112,DX112)</f>
        <v>0.13800000000000001</v>
      </c>
      <c r="DV112" s="147">
        <v>0.13800000000000001</v>
      </c>
      <c r="DW112" s="161">
        <v>0.13600000000000001</v>
      </c>
      <c r="DX112" s="162"/>
      <c r="DY112" s="164">
        <f t="shared" ref="DY112:DY113" si="1146">SUM(DZ112,EB112)</f>
        <v>0</v>
      </c>
      <c r="DZ112" s="147"/>
      <c r="EA112" s="161"/>
      <c r="EB112" s="162"/>
      <c r="EC112" s="105">
        <f t="shared" ref="EC112:EC120" si="1147">SUM(ED112,EF112)</f>
        <v>539.93300000000011</v>
      </c>
      <c r="ED112" s="106">
        <f t="shared" ref="ED112:ED118" si="1148">DN112+DV112</f>
        <v>538.73300000000006</v>
      </c>
      <c r="EE112" s="107">
        <f t="shared" ref="EE112:EE118" si="1149">DO112+DW112</f>
        <v>471.76400000000007</v>
      </c>
      <c r="EF112" s="108">
        <f t="shared" ref="EF112:EF118" si="1150">DP112+DX112</f>
        <v>1.2</v>
      </c>
      <c r="EG112" s="105">
        <f t="shared" ref="EG112:EG120" si="1151">SUM(EH112,EJ112)</f>
        <v>0</v>
      </c>
      <c r="EH112" s="106">
        <f t="shared" ref="EH112:EH118" si="1152">DR112+DZ112</f>
        <v>0</v>
      </c>
      <c r="EI112" s="107">
        <f t="shared" ref="EI112:EI118" si="1153">DS112+EA112</f>
        <v>0</v>
      </c>
      <c r="EJ112" s="108">
        <f t="shared" ref="EJ112:EJ118" si="1154">DT112+EB112</f>
        <v>0</v>
      </c>
      <c r="EK112" s="163">
        <f t="shared" si="648"/>
        <v>67.602000000000089</v>
      </c>
      <c r="EL112" s="163">
        <f t="shared" si="649"/>
        <v>56.688999999999965</v>
      </c>
      <c r="EM112" s="105">
        <f t="shared" ref="EM112:EM120" si="1155">SUM(EN112,EP112)</f>
        <v>596.62200000000007</v>
      </c>
      <c r="EN112" s="106">
        <f>ER112+529.03+4.152+41.6</f>
        <v>596.62200000000007</v>
      </c>
      <c r="EO112" s="107">
        <f>ES112+470.4+4.093-2+41</f>
        <v>534.59300000000007</v>
      </c>
      <c r="EP112" s="108"/>
      <c r="EQ112" s="105">
        <f t="shared" ref="EQ112:EQ120" si="1156">SUM(ER112,ET112)</f>
        <v>21.84</v>
      </c>
      <c r="ER112" s="106">
        <f>21.1+0.74</f>
        <v>21.84</v>
      </c>
      <c r="ES112" s="107">
        <v>21.1</v>
      </c>
      <c r="ET112" s="108"/>
    </row>
    <row r="113" spans="1:150" s="4" customFormat="1" ht="20.25" customHeight="1" x14ac:dyDescent="0.25">
      <c r="A113" s="705"/>
      <c r="B113" s="703"/>
      <c r="C113" s="48" t="s">
        <v>76</v>
      </c>
      <c r="D113" s="139" t="s">
        <v>52</v>
      </c>
      <c r="E113" s="105">
        <f t="shared" si="1076"/>
        <v>77.150999999999996</v>
      </c>
      <c r="F113" s="106">
        <f>49.6+0.72+23.5+J113+3</f>
        <v>77.150999999999996</v>
      </c>
      <c r="G113" s="107">
        <v>56.6</v>
      </c>
      <c r="H113" s="108"/>
      <c r="I113" s="105">
        <f t="shared" si="1077"/>
        <v>0.33100000000000002</v>
      </c>
      <c r="J113" s="106">
        <v>0.33100000000000002</v>
      </c>
      <c r="K113" s="107"/>
      <c r="L113" s="108"/>
      <c r="M113" s="105">
        <f t="shared" si="1078"/>
        <v>0</v>
      </c>
      <c r="N113" s="106"/>
      <c r="O113" s="107"/>
      <c r="P113" s="108"/>
      <c r="Q113" s="105">
        <f t="shared" si="1079"/>
        <v>0</v>
      </c>
      <c r="R113" s="106"/>
      <c r="S113" s="107"/>
      <c r="T113" s="108"/>
      <c r="U113" s="105">
        <f t="shared" ref="U113:U118" si="1157">SUM(V113,X113)</f>
        <v>77.150999999999996</v>
      </c>
      <c r="V113" s="106">
        <f t="shared" ref="V113:V118" si="1158">F113+N113</f>
        <v>77.150999999999996</v>
      </c>
      <c r="W113" s="107">
        <f t="shared" ref="W113:W118" si="1159">G113+O113</f>
        <v>56.6</v>
      </c>
      <c r="X113" s="108">
        <f t="shared" ref="X113:X118" si="1160">H113+P113</f>
        <v>0</v>
      </c>
      <c r="Y113" s="105">
        <f t="shared" ref="Y113:Y118" si="1161">SUM(Z113,AB113)</f>
        <v>0.33100000000000002</v>
      </c>
      <c r="Z113" s="106">
        <f t="shared" ref="Z113:Z118" si="1162">J113+R113</f>
        <v>0.33100000000000002</v>
      </c>
      <c r="AA113" s="107">
        <f t="shared" ref="AA113:AA118" si="1163">K113+S113</f>
        <v>0</v>
      </c>
      <c r="AB113" s="108">
        <f t="shared" ref="AB113:AB118" si="1164">L113+T113</f>
        <v>0</v>
      </c>
      <c r="AC113" s="105">
        <f t="shared" si="1088"/>
        <v>0</v>
      </c>
      <c r="AD113" s="106"/>
      <c r="AE113" s="107"/>
      <c r="AF113" s="108"/>
      <c r="AG113" s="105">
        <f t="shared" si="1089"/>
        <v>0</v>
      </c>
      <c r="AH113" s="106"/>
      <c r="AI113" s="107"/>
      <c r="AJ113" s="108"/>
      <c r="AK113" s="105">
        <f t="shared" si="1090"/>
        <v>77.150999999999996</v>
      </c>
      <c r="AL113" s="106">
        <f t="shared" si="1091"/>
        <v>77.150999999999996</v>
      </c>
      <c r="AM113" s="107">
        <f t="shared" si="1092"/>
        <v>56.6</v>
      </c>
      <c r="AN113" s="108">
        <f t="shared" si="1093"/>
        <v>0</v>
      </c>
      <c r="AO113" s="105">
        <f t="shared" si="1094"/>
        <v>0.33100000000000002</v>
      </c>
      <c r="AP113" s="106">
        <f t="shared" si="1095"/>
        <v>0.33100000000000002</v>
      </c>
      <c r="AQ113" s="107">
        <f t="shared" si="1096"/>
        <v>0</v>
      </c>
      <c r="AR113" s="108">
        <f t="shared" si="1097"/>
        <v>0</v>
      </c>
      <c r="AS113" s="105">
        <f t="shared" si="1098"/>
        <v>0</v>
      </c>
      <c r="AT113" s="106"/>
      <c r="AU113" s="107"/>
      <c r="AV113" s="108"/>
      <c r="AW113" s="105">
        <f t="shared" si="1099"/>
        <v>0</v>
      </c>
      <c r="AX113" s="106"/>
      <c r="AY113" s="107"/>
      <c r="AZ113" s="108"/>
      <c r="BA113" s="105">
        <f t="shared" si="1100"/>
        <v>77.150999999999996</v>
      </c>
      <c r="BB113" s="106">
        <f t="shared" si="1101"/>
        <v>77.150999999999996</v>
      </c>
      <c r="BC113" s="107">
        <f t="shared" si="1102"/>
        <v>56.6</v>
      </c>
      <c r="BD113" s="108">
        <f t="shared" si="1103"/>
        <v>0</v>
      </c>
      <c r="BE113" s="105">
        <f t="shared" si="1104"/>
        <v>0.33100000000000002</v>
      </c>
      <c r="BF113" s="106">
        <f t="shared" si="1105"/>
        <v>0.33100000000000002</v>
      </c>
      <c r="BG113" s="107">
        <f t="shared" si="1106"/>
        <v>0</v>
      </c>
      <c r="BH113" s="108">
        <f t="shared" si="1107"/>
        <v>0</v>
      </c>
      <c r="BI113" s="105">
        <f t="shared" si="1108"/>
        <v>0</v>
      </c>
      <c r="BJ113" s="106"/>
      <c r="BK113" s="107"/>
      <c r="BL113" s="108"/>
      <c r="BM113" s="105">
        <f t="shared" si="1109"/>
        <v>0</v>
      </c>
      <c r="BN113" s="106"/>
      <c r="BO113" s="107"/>
      <c r="BP113" s="108"/>
      <c r="BQ113" s="105">
        <f t="shared" si="1110"/>
        <v>77.150999999999996</v>
      </c>
      <c r="BR113" s="106">
        <f t="shared" si="1111"/>
        <v>77.150999999999996</v>
      </c>
      <c r="BS113" s="107">
        <f t="shared" si="1112"/>
        <v>56.6</v>
      </c>
      <c r="BT113" s="108">
        <f t="shared" si="1113"/>
        <v>0</v>
      </c>
      <c r="BU113" s="105">
        <f t="shared" si="1114"/>
        <v>0.33100000000000002</v>
      </c>
      <c r="BV113" s="106">
        <f t="shared" si="1115"/>
        <v>0.33100000000000002</v>
      </c>
      <c r="BW113" s="107">
        <f t="shared" si="1116"/>
        <v>0</v>
      </c>
      <c r="BX113" s="108">
        <f t="shared" si="1117"/>
        <v>0</v>
      </c>
      <c r="BY113" s="164">
        <f t="shared" si="1118"/>
        <v>0</v>
      </c>
      <c r="BZ113" s="147"/>
      <c r="CA113" s="161"/>
      <c r="CB113" s="162"/>
      <c r="CC113" s="164">
        <f t="shared" si="1119"/>
        <v>0</v>
      </c>
      <c r="CD113" s="147"/>
      <c r="CE113" s="161"/>
      <c r="CF113" s="162"/>
      <c r="CG113" s="105">
        <f t="shared" si="1120"/>
        <v>77.150999999999996</v>
      </c>
      <c r="CH113" s="106">
        <f t="shared" si="1121"/>
        <v>77.150999999999996</v>
      </c>
      <c r="CI113" s="107">
        <f t="shared" si="1122"/>
        <v>56.6</v>
      </c>
      <c r="CJ113" s="108">
        <f t="shared" si="1123"/>
        <v>0</v>
      </c>
      <c r="CK113" s="105">
        <f t="shared" si="1124"/>
        <v>0.33100000000000002</v>
      </c>
      <c r="CL113" s="106">
        <f t="shared" si="1125"/>
        <v>0.33100000000000002</v>
      </c>
      <c r="CM113" s="107">
        <f t="shared" si="1126"/>
        <v>0</v>
      </c>
      <c r="CN113" s="108">
        <f t="shared" si="1127"/>
        <v>0</v>
      </c>
      <c r="CO113" s="164">
        <f t="shared" ref="CO113:CO120" si="1165">SUM(CP113,CR113)</f>
        <v>4.3</v>
      </c>
      <c r="CP113" s="147">
        <f>2.6+1.7</f>
        <v>4.3</v>
      </c>
      <c r="CQ113" s="161"/>
      <c r="CR113" s="162"/>
      <c r="CS113" s="164">
        <f t="shared" si="1128"/>
        <v>0</v>
      </c>
      <c r="CT113" s="147"/>
      <c r="CU113" s="161"/>
      <c r="CV113" s="162"/>
      <c r="CW113" s="105">
        <f t="shared" si="1129"/>
        <v>81.450999999999993</v>
      </c>
      <c r="CX113" s="106">
        <f t="shared" si="1130"/>
        <v>81.450999999999993</v>
      </c>
      <c r="CY113" s="107">
        <f t="shared" si="1131"/>
        <v>56.6</v>
      </c>
      <c r="CZ113" s="108">
        <f t="shared" si="1132"/>
        <v>0</v>
      </c>
      <c r="DA113" s="105">
        <f t="shared" si="1133"/>
        <v>0.33100000000000002</v>
      </c>
      <c r="DB113" s="106">
        <f t="shared" si="1134"/>
        <v>0.33100000000000002</v>
      </c>
      <c r="DC113" s="107">
        <f t="shared" si="1135"/>
        <v>0</v>
      </c>
      <c r="DD113" s="108">
        <f t="shared" si="1136"/>
        <v>0</v>
      </c>
      <c r="DE113" s="164">
        <f t="shared" ref="DE113:DE120" si="1166">SUM(DF113,DH113)</f>
        <v>0</v>
      </c>
      <c r="DF113" s="147"/>
      <c r="DG113" s="161"/>
      <c r="DH113" s="162"/>
      <c r="DI113" s="164">
        <f t="shared" si="1137"/>
        <v>0</v>
      </c>
      <c r="DJ113" s="147"/>
      <c r="DK113" s="161"/>
      <c r="DL113" s="162"/>
      <c r="DM113" s="105">
        <f t="shared" si="1138"/>
        <v>81.450999999999993</v>
      </c>
      <c r="DN113" s="106">
        <f t="shared" si="1139"/>
        <v>81.450999999999993</v>
      </c>
      <c r="DO113" s="107">
        <f t="shared" si="1140"/>
        <v>56.6</v>
      </c>
      <c r="DP113" s="108">
        <f t="shared" si="1141"/>
        <v>0</v>
      </c>
      <c r="DQ113" s="105">
        <f t="shared" si="1142"/>
        <v>0.33100000000000002</v>
      </c>
      <c r="DR113" s="106">
        <f t="shared" si="1143"/>
        <v>0.33100000000000002</v>
      </c>
      <c r="DS113" s="107">
        <f t="shared" si="1144"/>
        <v>0</v>
      </c>
      <c r="DT113" s="108">
        <f t="shared" si="1145"/>
        <v>0</v>
      </c>
      <c r="DU113" s="164">
        <f t="shared" ref="DU113:DU120" si="1167">SUM(DV113,DX113)</f>
        <v>0</v>
      </c>
      <c r="DV113" s="147"/>
      <c r="DW113" s="161"/>
      <c r="DX113" s="162"/>
      <c r="DY113" s="164">
        <f t="shared" si="1146"/>
        <v>0</v>
      </c>
      <c r="DZ113" s="147"/>
      <c r="EA113" s="161"/>
      <c r="EB113" s="162"/>
      <c r="EC113" s="105">
        <f t="shared" si="1147"/>
        <v>81.450999999999993</v>
      </c>
      <c r="ED113" s="106">
        <f t="shared" si="1148"/>
        <v>81.450999999999993</v>
      </c>
      <c r="EE113" s="107">
        <f t="shared" si="1149"/>
        <v>56.6</v>
      </c>
      <c r="EF113" s="108">
        <f t="shared" si="1150"/>
        <v>0</v>
      </c>
      <c r="EG113" s="105">
        <f t="shared" si="1151"/>
        <v>0.33100000000000002</v>
      </c>
      <c r="EH113" s="106">
        <f t="shared" si="1152"/>
        <v>0.33100000000000002</v>
      </c>
      <c r="EI113" s="107">
        <f t="shared" si="1153"/>
        <v>0</v>
      </c>
      <c r="EJ113" s="108">
        <f t="shared" si="1154"/>
        <v>0</v>
      </c>
      <c r="EK113" s="163">
        <f t="shared" si="648"/>
        <v>24.015000000000001</v>
      </c>
      <c r="EL113" s="163">
        <f t="shared" si="649"/>
        <v>19.715000000000003</v>
      </c>
      <c r="EM113" s="105">
        <f t="shared" si="1155"/>
        <v>101.166</v>
      </c>
      <c r="EN113" s="106">
        <f>ER113+91.98+3</f>
        <v>97.846000000000004</v>
      </c>
      <c r="EO113" s="107">
        <f>ES113+62+2.957</f>
        <v>66.747</v>
      </c>
      <c r="EP113" s="108">
        <v>3.32</v>
      </c>
      <c r="EQ113" s="105">
        <f t="shared" si="1156"/>
        <v>2.8660000000000001</v>
      </c>
      <c r="ER113" s="106">
        <v>2.8660000000000001</v>
      </c>
      <c r="ES113" s="107">
        <v>1.79</v>
      </c>
      <c r="ET113" s="108"/>
    </row>
    <row r="114" spans="1:150" s="4" customFormat="1" ht="20.25" customHeight="1" x14ac:dyDescent="0.25">
      <c r="A114" s="142" t="s">
        <v>40</v>
      </c>
      <c r="B114" s="43" t="s">
        <v>116</v>
      </c>
      <c r="C114" s="48" t="s">
        <v>165</v>
      </c>
      <c r="D114" s="139" t="s">
        <v>37</v>
      </c>
      <c r="E114" s="105"/>
      <c r="F114" s="106"/>
      <c r="G114" s="107"/>
      <c r="H114" s="108"/>
      <c r="I114" s="105"/>
      <c r="J114" s="106"/>
      <c r="K114" s="107"/>
      <c r="L114" s="108"/>
      <c r="M114" s="105"/>
      <c r="N114" s="106"/>
      <c r="O114" s="107"/>
      <c r="P114" s="108"/>
      <c r="Q114" s="105"/>
      <c r="R114" s="106"/>
      <c r="S114" s="107"/>
      <c r="T114" s="108"/>
      <c r="U114" s="105">
        <f t="shared" si="1157"/>
        <v>0</v>
      </c>
      <c r="V114" s="106">
        <f t="shared" si="1158"/>
        <v>0</v>
      </c>
      <c r="W114" s="107">
        <f t="shared" si="1159"/>
        <v>0</v>
      </c>
      <c r="X114" s="108">
        <f t="shared" si="1160"/>
        <v>0</v>
      </c>
      <c r="Y114" s="105">
        <f t="shared" si="1161"/>
        <v>0</v>
      </c>
      <c r="Z114" s="106">
        <f t="shared" si="1162"/>
        <v>0</v>
      </c>
      <c r="AA114" s="107">
        <f t="shared" si="1163"/>
        <v>0</v>
      </c>
      <c r="AB114" s="108">
        <f t="shared" si="1164"/>
        <v>0</v>
      </c>
      <c r="AC114" s="105">
        <f t="shared" si="1088"/>
        <v>0</v>
      </c>
      <c r="AD114" s="106"/>
      <c r="AE114" s="107"/>
      <c r="AF114" s="108"/>
      <c r="AG114" s="105"/>
      <c r="AH114" s="106"/>
      <c r="AI114" s="107"/>
      <c r="AJ114" s="108"/>
      <c r="AK114" s="105">
        <f t="shared" si="1090"/>
        <v>0</v>
      </c>
      <c r="AL114" s="106">
        <f t="shared" si="1091"/>
        <v>0</v>
      </c>
      <c r="AM114" s="107">
        <f t="shared" si="1092"/>
        <v>0</v>
      </c>
      <c r="AN114" s="108">
        <f t="shared" si="1093"/>
        <v>0</v>
      </c>
      <c r="AO114" s="105">
        <f t="shared" si="1094"/>
        <v>0</v>
      </c>
      <c r="AP114" s="106">
        <f t="shared" si="1095"/>
        <v>0</v>
      </c>
      <c r="AQ114" s="107">
        <f t="shared" si="1096"/>
        <v>0</v>
      </c>
      <c r="AR114" s="108">
        <f t="shared" si="1097"/>
        <v>0</v>
      </c>
      <c r="AS114" s="105">
        <f t="shared" si="1098"/>
        <v>0</v>
      </c>
      <c r="AT114" s="106"/>
      <c r="AU114" s="107"/>
      <c r="AV114" s="108"/>
      <c r="AW114" s="105"/>
      <c r="AX114" s="106"/>
      <c r="AY114" s="107"/>
      <c r="AZ114" s="108"/>
      <c r="BA114" s="105">
        <f t="shared" si="1100"/>
        <v>0</v>
      </c>
      <c r="BB114" s="106">
        <f t="shared" si="1101"/>
        <v>0</v>
      </c>
      <c r="BC114" s="107">
        <f t="shared" si="1102"/>
        <v>0</v>
      </c>
      <c r="BD114" s="108">
        <f t="shared" si="1103"/>
        <v>0</v>
      </c>
      <c r="BE114" s="105">
        <f t="shared" si="1104"/>
        <v>0</v>
      </c>
      <c r="BF114" s="106">
        <f t="shared" si="1105"/>
        <v>0</v>
      </c>
      <c r="BG114" s="107">
        <f t="shared" si="1106"/>
        <v>0</v>
      </c>
      <c r="BH114" s="108">
        <f t="shared" si="1107"/>
        <v>0</v>
      </c>
      <c r="BI114" s="105">
        <f t="shared" si="1108"/>
        <v>0</v>
      </c>
      <c r="BJ114" s="106"/>
      <c r="BK114" s="107"/>
      <c r="BL114" s="108"/>
      <c r="BM114" s="105"/>
      <c r="BN114" s="106"/>
      <c r="BO114" s="107"/>
      <c r="BP114" s="108"/>
      <c r="BQ114" s="105">
        <f t="shared" si="1110"/>
        <v>0</v>
      </c>
      <c r="BR114" s="106">
        <f t="shared" si="1111"/>
        <v>0</v>
      </c>
      <c r="BS114" s="107">
        <f t="shared" si="1112"/>
        <v>0</v>
      </c>
      <c r="BT114" s="108">
        <f t="shared" si="1113"/>
        <v>0</v>
      </c>
      <c r="BU114" s="105">
        <f t="shared" si="1114"/>
        <v>0</v>
      </c>
      <c r="BV114" s="106">
        <f t="shared" si="1115"/>
        <v>0</v>
      </c>
      <c r="BW114" s="107">
        <f t="shared" si="1116"/>
        <v>0</v>
      </c>
      <c r="BX114" s="108">
        <f t="shared" si="1117"/>
        <v>0</v>
      </c>
      <c r="BY114" s="164">
        <f t="shared" si="1118"/>
        <v>0.55000000000000004</v>
      </c>
      <c r="BZ114" s="147">
        <v>0.55000000000000004</v>
      </c>
      <c r="CA114" s="161"/>
      <c r="CB114" s="162"/>
      <c r="CC114" s="164"/>
      <c r="CD114" s="147"/>
      <c r="CE114" s="161"/>
      <c r="CF114" s="162"/>
      <c r="CG114" s="105">
        <f t="shared" si="1120"/>
        <v>0.55000000000000004</v>
      </c>
      <c r="CH114" s="106">
        <f t="shared" si="1121"/>
        <v>0.55000000000000004</v>
      </c>
      <c r="CI114" s="107">
        <f t="shared" si="1122"/>
        <v>0</v>
      </c>
      <c r="CJ114" s="108">
        <f t="shared" si="1123"/>
        <v>0</v>
      </c>
      <c r="CK114" s="105">
        <f t="shared" si="1124"/>
        <v>0</v>
      </c>
      <c r="CL114" s="106">
        <f t="shared" si="1125"/>
        <v>0</v>
      </c>
      <c r="CM114" s="107">
        <f t="shared" si="1126"/>
        <v>0</v>
      </c>
      <c r="CN114" s="108">
        <f t="shared" si="1127"/>
        <v>0</v>
      </c>
      <c r="CO114" s="164">
        <f t="shared" si="1165"/>
        <v>0</v>
      </c>
      <c r="CP114" s="147"/>
      <c r="CQ114" s="161"/>
      <c r="CR114" s="162"/>
      <c r="CS114" s="164"/>
      <c r="CT114" s="147"/>
      <c r="CU114" s="161"/>
      <c r="CV114" s="162"/>
      <c r="CW114" s="105">
        <f t="shared" si="1129"/>
        <v>0.55000000000000004</v>
      </c>
      <c r="CX114" s="106">
        <f t="shared" si="1130"/>
        <v>0.55000000000000004</v>
      </c>
      <c r="CY114" s="107">
        <f t="shared" si="1131"/>
        <v>0</v>
      </c>
      <c r="CZ114" s="108">
        <f t="shared" si="1132"/>
        <v>0</v>
      </c>
      <c r="DA114" s="105">
        <f t="shared" si="1133"/>
        <v>0</v>
      </c>
      <c r="DB114" s="106">
        <f t="shared" si="1134"/>
        <v>0</v>
      </c>
      <c r="DC114" s="107">
        <f t="shared" si="1135"/>
        <v>0</v>
      </c>
      <c r="DD114" s="108">
        <f t="shared" si="1136"/>
        <v>0</v>
      </c>
      <c r="DE114" s="164">
        <f t="shared" si="1166"/>
        <v>0</v>
      </c>
      <c r="DF114" s="147"/>
      <c r="DG114" s="161"/>
      <c r="DH114" s="162"/>
      <c r="DI114" s="164"/>
      <c r="DJ114" s="147"/>
      <c r="DK114" s="161"/>
      <c r="DL114" s="162"/>
      <c r="DM114" s="105">
        <f t="shared" si="1138"/>
        <v>0.55000000000000004</v>
      </c>
      <c r="DN114" s="106">
        <f t="shared" si="1139"/>
        <v>0.55000000000000004</v>
      </c>
      <c r="DO114" s="107">
        <f t="shared" si="1140"/>
        <v>0</v>
      </c>
      <c r="DP114" s="108">
        <f t="shared" si="1141"/>
        <v>0</v>
      </c>
      <c r="DQ114" s="105">
        <f t="shared" si="1142"/>
        <v>0</v>
      </c>
      <c r="DR114" s="106">
        <f t="shared" si="1143"/>
        <v>0</v>
      </c>
      <c r="DS114" s="107">
        <f t="shared" si="1144"/>
        <v>0</v>
      </c>
      <c r="DT114" s="108">
        <f t="shared" si="1145"/>
        <v>0</v>
      </c>
      <c r="DU114" s="164">
        <f t="shared" si="1167"/>
        <v>0</v>
      </c>
      <c r="DV114" s="147"/>
      <c r="DW114" s="161"/>
      <c r="DX114" s="162"/>
      <c r="DY114" s="164"/>
      <c r="DZ114" s="147"/>
      <c r="EA114" s="161"/>
      <c r="EB114" s="162"/>
      <c r="EC114" s="105">
        <f t="shared" si="1147"/>
        <v>0.55000000000000004</v>
      </c>
      <c r="ED114" s="106">
        <f t="shared" si="1148"/>
        <v>0.55000000000000004</v>
      </c>
      <c r="EE114" s="107">
        <f t="shared" si="1149"/>
        <v>0</v>
      </c>
      <c r="EF114" s="108">
        <f t="shared" si="1150"/>
        <v>0</v>
      </c>
      <c r="EG114" s="105">
        <f t="shared" si="1151"/>
        <v>0</v>
      </c>
      <c r="EH114" s="106">
        <f t="shared" si="1152"/>
        <v>0</v>
      </c>
      <c r="EI114" s="107">
        <f t="shared" si="1153"/>
        <v>0</v>
      </c>
      <c r="EJ114" s="108">
        <f t="shared" si="1154"/>
        <v>0</v>
      </c>
      <c r="EK114" s="153">
        <f t="shared" si="648"/>
        <v>0</v>
      </c>
      <c r="EL114" s="154">
        <f t="shared" si="649"/>
        <v>-0.55000000000000004</v>
      </c>
      <c r="EM114" s="105"/>
      <c r="EN114" s="106"/>
      <c r="EO114" s="107"/>
      <c r="EP114" s="108"/>
      <c r="EQ114" s="105"/>
      <c r="ER114" s="106"/>
      <c r="ES114" s="107"/>
      <c r="ET114" s="108"/>
    </row>
    <row r="115" spans="1:150" s="4" customFormat="1" ht="21" customHeight="1" x14ac:dyDescent="0.25">
      <c r="A115" s="134" t="s">
        <v>24</v>
      </c>
      <c r="B115" s="140" t="s">
        <v>45</v>
      </c>
      <c r="C115" s="48" t="s">
        <v>165</v>
      </c>
      <c r="D115" s="139" t="s">
        <v>37</v>
      </c>
      <c r="E115" s="105"/>
      <c r="F115" s="106"/>
      <c r="G115" s="107"/>
      <c r="H115" s="108"/>
      <c r="I115" s="105"/>
      <c r="J115" s="106"/>
      <c r="K115" s="107"/>
      <c r="L115" s="108"/>
      <c r="M115" s="105"/>
      <c r="N115" s="106"/>
      <c r="O115" s="107"/>
      <c r="P115" s="108"/>
      <c r="Q115" s="105"/>
      <c r="R115" s="106"/>
      <c r="S115" s="107"/>
      <c r="T115" s="108"/>
      <c r="U115" s="105">
        <f t="shared" si="1157"/>
        <v>0</v>
      </c>
      <c r="V115" s="106">
        <f t="shared" si="1158"/>
        <v>0</v>
      </c>
      <c r="W115" s="107">
        <f t="shared" si="1159"/>
        <v>0</v>
      </c>
      <c r="X115" s="108">
        <f t="shared" si="1160"/>
        <v>0</v>
      </c>
      <c r="Y115" s="105">
        <f t="shared" si="1161"/>
        <v>0</v>
      </c>
      <c r="Z115" s="106">
        <f t="shared" si="1162"/>
        <v>0</v>
      </c>
      <c r="AA115" s="107">
        <f t="shared" si="1163"/>
        <v>0</v>
      </c>
      <c r="AB115" s="108">
        <f t="shared" si="1164"/>
        <v>0</v>
      </c>
      <c r="AC115" s="105">
        <f t="shared" si="1088"/>
        <v>1.7999999999999999E-2</v>
      </c>
      <c r="AD115" s="106">
        <v>1.7999999999999999E-2</v>
      </c>
      <c r="AE115" s="107"/>
      <c r="AF115" s="108"/>
      <c r="AG115" s="105"/>
      <c r="AH115" s="106"/>
      <c r="AI115" s="107"/>
      <c r="AJ115" s="108"/>
      <c r="AK115" s="105">
        <f t="shared" si="1090"/>
        <v>1.7999999999999999E-2</v>
      </c>
      <c r="AL115" s="106">
        <f t="shared" si="1091"/>
        <v>1.7999999999999999E-2</v>
      </c>
      <c r="AM115" s="107">
        <f t="shared" si="1092"/>
        <v>0</v>
      </c>
      <c r="AN115" s="108">
        <f t="shared" si="1093"/>
        <v>0</v>
      </c>
      <c r="AO115" s="105">
        <f t="shared" si="1094"/>
        <v>0</v>
      </c>
      <c r="AP115" s="106">
        <f t="shared" si="1095"/>
        <v>0</v>
      </c>
      <c r="AQ115" s="107">
        <f t="shared" si="1096"/>
        <v>0</v>
      </c>
      <c r="AR115" s="108">
        <f t="shared" si="1097"/>
        <v>0</v>
      </c>
      <c r="AS115" s="105">
        <f t="shared" si="1098"/>
        <v>0</v>
      </c>
      <c r="AT115" s="106"/>
      <c r="AU115" s="107"/>
      <c r="AV115" s="108"/>
      <c r="AW115" s="105"/>
      <c r="AX115" s="106"/>
      <c r="AY115" s="107"/>
      <c r="AZ115" s="108"/>
      <c r="BA115" s="105">
        <f t="shared" si="1100"/>
        <v>1.7999999999999999E-2</v>
      </c>
      <c r="BB115" s="106">
        <f t="shared" si="1101"/>
        <v>1.7999999999999999E-2</v>
      </c>
      <c r="BC115" s="107">
        <f t="shared" si="1102"/>
        <v>0</v>
      </c>
      <c r="BD115" s="108">
        <f t="shared" si="1103"/>
        <v>0</v>
      </c>
      <c r="BE115" s="105">
        <f t="shared" si="1104"/>
        <v>0</v>
      </c>
      <c r="BF115" s="106">
        <f t="shared" si="1105"/>
        <v>0</v>
      </c>
      <c r="BG115" s="107">
        <f t="shared" si="1106"/>
        <v>0</v>
      </c>
      <c r="BH115" s="108">
        <f t="shared" si="1107"/>
        <v>0</v>
      </c>
      <c r="BI115" s="105">
        <f t="shared" si="1108"/>
        <v>0</v>
      </c>
      <c r="BJ115" s="106"/>
      <c r="BK115" s="107"/>
      <c r="BL115" s="108"/>
      <c r="BM115" s="105"/>
      <c r="BN115" s="106"/>
      <c r="BO115" s="107"/>
      <c r="BP115" s="108"/>
      <c r="BQ115" s="105">
        <f t="shared" si="1110"/>
        <v>1.7999999999999999E-2</v>
      </c>
      <c r="BR115" s="106">
        <f t="shared" si="1111"/>
        <v>1.7999999999999999E-2</v>
      </c>
      <c r="BS115" s="107">
        <f t="shared" si="1112"/>
        <v>0</v>
      </c>
      <c r="BT115" s="108">
        <f t="shared" si="1113"/>
        <v>0</v>
      </c>
      <c r="BU115" s="105">
        <f t="shared" si="1114"/>
        <v>0</v>
      </c>
      <c r="BV115" s="106">
        <f t="shared" si="1115"/>
        <v>0</v>
      </c>
      <c r="BW115" s="107">
        <f t="shared" si="1116"/>
        <v>0</v>
      </c>
      <c r="BX115" s="108">
        <f t="shared" si="1117"/>
        <v>0</v>
      </c>
      <c r="BY115" s="164">
        <f t="shared" si="1118"/>
        <v>0</v>
      </c>
      <c r="BZ115" s="147"/>
      <c r="CA115" s="161"/>
      <c r="CB115" s="162"/>
      <c r="CC115" s="164"/>
      <c r="CD115" s="147"/>
      <c r="CE115" s="161"/>
      <c r="CF115" s="162"/>
      <c r="CG115" s="105">
        <f t="shared" si="1120"/>
        <v>1.7999999999999999E-2</v>
      </c>
      <c r="CH115" s="106">
        <f t="shared" si="1121"/>
        <v>1.7999999999999999E-2</v>
      </c>
      <c r="CI115" s="107">
        <f t="shared" si="1122"/>
        <v>0</v>
      </c>
      <c r="CJ115" s="108">
        <f t="shared" si="1123"/>
        <v>0</v>
      </c>
      <c r="CK115" s="105">
        <f t="shared" si="1124"/>
        <v>0</v>
      </c>
      <c r="CL115" s="106">
        <f t="shared" si="1125"/>
        <v>0</v>
      </c>
      <c r="CM115" s="107">
        <f t="shared" si="1126"/>
        <v>0</v>
      </c>
      <c r="CN115" s="108">
        <f t="shared" si="1127"/>
        <v>0</v>
      </c>
      <c r="CO115" s="164">
        <f t="shared" si="1165"/>
        <v>1.2E-2</v>
      </c>
      <c r="CP115" s="147">
        <v>1.2E-2</v>
      </c>
      <c r="CQ115" s="161"/>
      <c r="CR115" s="162"/>
      <c r="CS115" s="164"/>
      <c r="CT115" s="147"/>
      <c r="CU115" s="161"/>
      <c r="CV115" s="162"/>
      <c r="CW115" s="105">
        <f t="shared" si="1129"/>
        <v>0.03</v>
      </c>
      <c r="CX115" s="106">
        <f t="shared" si="1130"/>
        <v>0.03</v>
      </c>
      <c r="CY115" s="107">
        <f t="shared" si="1131"/>
        <v>0</v>
      </c>
      <c r="CZ115" s="108">
        <f t="shared" si="1132"/>
        <v>0</v>
      </c>
      <c r="DA115" s="105">
        <f t="shared" si="1133"/>
        <v>0</v>
      </c>
      <c r="DB115" s="106">
        <f t="shared" si="1134"/>
        <v>0</v>
      </c>
      <c r="DC115" s="107">
        <f t="shared" si="1135"/>
        <v>0</v>
      </c>
      <c r="DD115" s="108">
        <f t="shared" si="1136"/>
        <v>0</v>
      </c>
      <c r="DE115" s="164">
        <f t="shared" si="1166"/>
        <v>0</v>
      </c>
      <c r="DF115" s="147"/>
      <c r="DG115" s="161"/>
      <c r="DH115" s="162"/>
      <c r="DI115" s="164"/>
      <c r="DJ115" s="147"/>
      <c r="DK115" s="161"/>
      <c r="DL115" s="162"/>
      <c r="DM115" s="105">
        <f t="shared" si="1138"/>
        <v>0.03</v>
      </c>
      <c r="DN115" s="106">
        <f t="shared" si="1139"/>
        <v>0.03</v>
      </c>
      <c r="DO115" s="107">
        <f t="shared" si="1140"/>
        <v>0</v>
      </c>
      <c r="DP115" s="108">
        <f t="shared" si="1141"/>
        <v>0</v>
      </c>
      <c r="DQ115" s="105">
        <f t="shared" si="1142"/>
        <v>0</v>
      </c>
      <c r="DR115" s="106">
        <f t="shared" si="1143"/>
        <v>0</v>
      </c>
      <c r="DS115" s="107">
        <f t="shared" si="1144"/>
        <v>0</v>
      </c>
      <c r="DT115" s="108">
        <f t="shared" si="1145"/>
        <v>0</v>
      </c>
      <c r="DU115" s="164">
        <f t="shared" si="1167"/>
        <v>1.7999999999999999E-2</v>
      </c>
      <c r="DV115" s="147">
        <v>1.7999999999999999E-2</v>
      </c>
      <c r="DW115" s="161"/>
      <c r="DX115" s="162"/>
      <c r="DY115" s="164"/>
      <c r="DZ115" s="147"/>
      <c r="EA115" s="161"/>
      <c r="EB115" s="162"/>
      <c r="EC115" s="105">
        <f t="shared" si="1147"/>
        <v>4.8000000000000001E-2</v>
      </c>
      <c r="ED115" s="106">
        <f t="shared" si="1148"/>
        <v>4.8000000000000001E-2</v>
      </c>
      <c r="EE115" s="107">
        <f t="shared" si="1149"/>
        <v>0</v>
      </c>
      <c r="EF115" s="108">
        <f t="shared" si="1150"/>
        <v>0</v>
      </c>
      <c r="EG115" s="105">
        <f t="shared" si="1151"/>
        <v>0</v>
      </c>
      <c r="EH115" s="106">
        <f t="shared" si="1152"/>
        <v>0</v>
      </c>
      <c r="EI115" s="107">
        <f t="shared" si="1153"/>
        <v>0</v>
      </c>
      <c r="EJ115" s="108">
        <f t="shared" si="1154"/>
        <v>0</v>
      </c>
      <c r="EK115" s="153">
        <f t="shared" si="648"/>
        <v>0</v>
      </c>
      <c r="EL115" s="154">
        <f t="shared" si="649"/>
        <v>-4.8000000000000001E-2</v>
      </c>
      <c r="EM115" s="105"/>
      <c r="EN115" s="106"/>
      <c r="EO115" s="107"/>
      <c r="EP115" s="108"/>
      <c r="EQ115" s="105"/>
      <c r="ER115" s="106"/>
      <c r="ES115" s="107"/>
      <c r="ET115" s="108"/>
    </row>
    <row r="116" spans="1:150" ht="22.25" customHeight="1" x14ac:dyDescent="0.3">
      <c r="A116" s="139" t="s">
        <v>33</v>
      </c>
      <c r="B116" s="37" t="s">
        <v>47</v>
      </c>
      <c r="C116" s="48" t="s">
        <v>166</v>
      </c>
      <c r="D116" s="139" t="s">
        <v>37</v>
      </c>
      <c r="E116" s="105">
        <f t="shared" si="1076"/>
        <v>1.6</v>
      </c>
      <c r="F116" s="106">
        <v>1.6</v>
      </c>
      <c r="G116" s="107"/>
      <c r="H116" s="108"/>
      <c r="I116" s="105">
        <f t="shared" si="1077"/>
        <v>0</v>
      </c>
      <c r="J116" s="106"/>
      <c r="K116" s="107"/>
      <c r="L116" s="108"/>
      <c r="M116" s="105">
        <f t="shared" ref="M116:M120" si="1168">SUM(N116,P116)</f>
        <v>0</v>
      </c>
      <c r="N116" s="106"/>
      <c r="O116" s="107"/>
      <c r="P116" s="108"/>
      <c r="Q116" s="105">
        <f t="shared" ref="Q116:Q120" si="1169">SUM(R116,T116)</f>
        <v>0</v>
      </c>
      <c r="R116" s="106"/>
      <c r="S116" s="107"/>
      <c r="T116" s="108"/>
      <c r="U116" s="105">
        <f t="shared" si="1157"/>
        <v>1.6</v>
      </c>
      <c r="V116" s="106">
        <f t="shared" si="1158"/>
        <v>1.6</v>
      </c>
      <c r="W116" s="107">
        <f t="shared" si="1159"/>
        <v>0</v>
      </c>
      <c r="X116" s="108">
        <f t="shared" si="1160"/>
        <v>0</v>
      </c>
      <c r="Y116" s="105">
        <f t="shared" si="1161"/>
        <v>0</v>
      </c>
      <c r="Z116" s="106">
        <f t="shared" si="1162"/>
        <v>0</v>
      </c>
      <c r="AA116" s="107">
        <f t="shared" si="1163"/>
        <v>0</v>
      </c>
      <c r="AB116" s="108">
        <f t="shared" si="1164"/>
        <v>0</v>
      </c>
      <c r="AC116" s="105">
        <f t="shared" ref="AC116:AC120" si="1170">SUM(AD116,AF116)</f>
        <v>0</v>
      </c>
      <c r="AD116" s="106"/>
      <c r="AE116" s="107"/>
      <c r="AF116" s="108"/>
      <c r="AG116" s="105">
        <f t="shared" ref="AG116:AG120" si="1171">SUM(AH116,AJ116)</f>
        <v>0</v>
      </c>
      <c r="AH116" s="106"/>
      <c r="AI116" s="107"/>
      <c r="AJ116" s="108"/>
      <c r="AK116" s="105">
        <f t="shared" si="1090"/>
        <v>1.6</v>
      </c>
      <c r="AL116" s="106">
        <f t="shared" si="1091"/>
        <v>1.6</v>
      </c>
      <c r="AM116" s="107">
        <f t="shared" si="1092"/>
        <v>0</v>
      </c>
      <c r="AN116" s="108">
        <f t="shared" si="1093"/>
        <v>0</v>
      </c>
      <c r="AO116" s="105">
        <f t="shared" si="1094"/>
        <v>0</v>
      </c>
      <c r="AP116" s="106">
        <f t="shared" si="1095"/>
        <v>0</v>
      </c>
      <c r="AQ116" s="107">
        <f t="shared" si="1096"/>
        <v>0</v>
      </c>
      <c r="AR116" s="108">
        <f t="shared" si="1097"/>
        <v>0</v>
      </c>
      <c r="AS116" s="105">
        <f t="shared" si="1098"/>
        <v>0</v>
      </c>
      <c r="AT116" s="106"/>
      <c r="AU116" s="107"/>
      <c r="AV116" s="108"/>
      <c r="AW116" s="105">
        <f t="shared" ref="AW116:AW120" si="1172">SUM(AX116,AZ116)</f>
        <v>0</v>
      </c>
      <c r="AX116" s="106"/>
      <c r="AY116" s="107"/>
      <c r="AZ116" s="108"/>
      <c r="BA116" s="105">
        <f t="shared" si="1100"/>
        <v>1.6</v>
      </c>
      <c r="BB116" s="106">
        <f t="shared" si="1101"/>
        <v>1.6</v>
      </c>
      <c r="BC116" s="107">
        <f t="shared" si="1102"/>
        <v>0</v>
      </c>
      <c r="BD116" s="108">
        <f t="shared" si="1103"/>
        <v>0</v>
      </c>
      <c r="BE116" s="105">
        <f t="shared" si="1104"/>
        <v>0</v>
      </c>
      <c r="BF116" s="106">
        <f t="shared" si="1105"/>
        <v>0</v>
      </c>
      <c r="BG116" s="107">
        <f t="shared" si="1106"/>
        <v>0</v>
      </c>
      <c r="BH116" s="108">
        <f t="shared" si="1107"/>
        <v>0</v>
      </c>
      <c r="BI116" s="105">
        <f t="shared" si="1108"/>
        <v>0</v>
      </c>
      <c r="BJ116" s="106"/>
      <c r="BK116" s="107"/>
      <c r="BL116" s="108"/>
      <c r="BM116" s="105">
        <f t="shared" ref="BM116:BM120" si="1173">SUM(BN116,BP116)</f>
        <v>0</v>
      </c>
      <c r="BN116" s="106"/>
      <c r="BO116" s="107"/>
      <c r="BP116" s="108"/>
      <c r="BQ116" s="105">
        <f t="shared" si="1110"/>
        <v>1.6</v>
      </c>
      <c r="BR116" s="106">
        <f t="shared" si="1111"/>
        <v>1.6</v>
      </c>
      <c r="BS116" s="107">
        <f t="shared" si="1112"/>
        <v>0</v>
      </c>
      <c r="BT116" s="108">
        <f t="shared" si="1113"/>
        <v>0</v>
      </c>
      <c r="BU116" s="105">
        <f t="shared" si="1114"/>
        <v>0</v>
      </c>
      <c r="BV116" s="106">
        <f t="shared" si="1115"/>
        <v>0</v>
      </c>
      <c r="BW116" s="107">
        <f t="shared" si="1116"/>
        <v>0</v>
      </c>
      <c r="BX116" s="108">
        <f t="shared" si="1117"/>
        <v>0</v>
      </c>
      <c r="BY116" s="164">
        <f t="shared" si="1118"/>
        <v>0</v>
      </c>
      <c r="BZ116" s="147"/>
      <c r="CA116" s="161"/>
      <c r="CB116" s="162"/>
      <c r="CC116" s="164">
        <f t="shared" ref="CC116:CC120" si="1174">SUM(CD116,CF116)</f>
        <v>0</v>
      </c>
      <c r="CD116" s="147"/>
      <c r="CE116" s="161"/>
      <c r="CF116" s="162"/>
      <c r="CG116" s="105">
        <f t="shared" si="1120"/>
        <v>1.6</v>
      </c>
      <c r="CH116" s="106">
        <f t="shared" si="1121"/>
        <v>1.6</v>
      </c>
      <c r="CI116" s="107">
        <f t="shared" si="1122"/>
        <v>0</v>
      </c>
      <c r="CJ116" s="108">
        <f t="shared" si="1123"/>
        <v>0</v>
      </c>
      <c r="CK116" s="105">
        <f t="shared" si="1124"/>
        <v>0</v>
      </c>
      <c r="CL116" s="106">
        <f t="shared" si="1125"/>
        <v>0</v>
      </c>
      <c r="CM116" s="107">
        <f t="shared" si="1126"/>
        <v>0</v>
      </c>
      <c r="CN116" s="108">
        <f t="shared" si="1127"/>
        <v>0</v>
      </c>
      <c r="CO116" s="164">
        <f t="shared" si="1165"/>
        <v>0</v>
      </c>
      <c r="CP116" s="147"/>
      <c r="CQ116" s="161"/>
      <c r="CR116" s="162"/>
      <c r="CS116" s="164">
        <f t="shared" ref="CS116:CS120" si="1175">SUM(CT116,CV116)</f>
        <v>0</v>
      </c>
      <c r="CT116" s="147"/>
      <c r="CU116" s="161"/>
      <c r="CV116" s="162"/>
      <c r="CW116" s="105">
        <f t="shared" si="1129"/>
        <v>1.6</v>
      </c>
      <c r="CX116" s="106">
        <f t="shared" si="1130"/>
        <v>1.6</v>
      </c>
      <c r="CY116" s="107">
        <f t="shared" si="1131"/>
        <v>0</v>
      </c>
      <c r="CZ116" s="108">
        <f t="shared" si="1132"/>
        <v>0</v>
      </c>
      <c r="DA116" s="105">
        <f t="shared" si="1133"/>
        <v>0</v>
      </c>
      <c r="DB116" s="106">
        <f t="shared" si="1134"/>
        <v>0</v>
      </c>
      <c r="DC116" s="107">
        <f t="shared" si="1135"/>
        <v>0</v>
      </c>
      <c r="DD116" s="108">
        <f t="shared" si="1136"/>
        <v>0</v>
      </c>
      <c r="DE116" s="164">
        <f t="shared" si="1166"/>
        <v>0</v>
      </c>
      <c r="DF116" s="147"/>
      <c r="DG116" s="161"/>
      <c r="DH116" s="162"/>
      <c r="DI116" s="164">
        <f t="shared" ref="DI116:DI120" si="1176">SUM(DJ116,DL116)</f>
        <v>0</v>
      </c>
      <c r="DJ116" s="147"/>
      <c r="DK116" s="161"/>
      <c r="DL116" s="162"/>
      <c r="DM116" s="105">
        <f t="shared" si="1138"/>
        <v>1.6</v>
      </c>
      <c r="DN116" s="106">
        <f t="shared" si="1139"/>
        <v>1.6</v>
      </c>
      <c r="DO116" s="107">
        <f t="shared" si="1140"/>
        <v>0</v>
      </c>
      <c r="DP116" s="108">
        <f t="shared" si="1141"/>
        <v>0</v>
      </c>
      <c r="DQ116" s="105">
        <f t="shared" si="1142"/>
        <v>0</v>
      </c>
      <c r="DR116" s="106">
        <f t="shared" si="1143"/>
        <v>0</v>
      </c>
      <c r="DS116" s="107">
        <f t="shared" si="1144"/>
        <v>0</v>
      </c>
      <c r="DT116" s="108">
        <f t="shared" si="1145"/>
        <v>0</v>
      </c>
      <c r="DU116" s="164">
        <f t="shared" si="1167"/>
        <v>0</v>
      </c>
      <c r="DV116" s="147"/>
      <c r="DW116" s="161"/>
      <c r="DX116" s="162"/>
      <c r="DY116" s="164">
        <f t="shared" ref="DY116:DY120" si="1177">SUM(DZ116,EB116)</f>
        <v>0</v>
      </c>
      <c r="DZ116" s="147"/>
      <c r="EA116" s="161"/>
      <c r="EB116" s="162"/>
      <c r="EC116" s="105">
        <f t="shared" si="1147"/>
        <v>1.6</v>
      </c>
      <c r="ED116" s="106">
        <f t="shared" si="1148"/>
        <v>1.6</v>
      </c>
      <c r="EE116" s="107">
        <f t="shared" si="1149"/>
        <v>0</v>
      </c>
      <c r="EF116" s="108">
        <f t="shared" si="1150"/>
        <v>0</v>
      </c>
      <c r="EG116" s="105">
        <f t="shared" si="1151"/>
        <v>0</v>
      </c>
      <c r="EH116" s="106">
        <f t="shared" si="1152"/>
        <v>0</v>
      </c>
      <c r="EI116" s="107">
        <f t="shared" si="1153"/>
        <v>0</v>
      </c>
      <c r="EJ116" s="108">
        <f t="shared" si="1154"/>
        <v>0</v>
      </c>
      <c r="EK116" s="163">
        <f t="shared" si="648"/>
        <v>9.099999999999997E-2</v>
      </c>
      <c r="EL116" s="163">
        <f t="shared" si="649"/>
        <v>9.099999999999997E-2</v>
      </c>
      <c r="EM116" s="105">
        <f t="shared" si="1155"/>
        <v>1.6910000000000001</v>
      </c>
      <c r="EN116" s="106">
        <f>ER116+1.36</f>
        <v>1.6910000000000001</v>
      </c>
      <c r="EO116" s="107"/>
      <c r="EP116" s="108"/>
      <c r="EQ116" s="105">
        <f t="shared" si="1156"/>
        <v>0.33100000000000002</v>
      </c>
      <c r="ER116" s="106">
        <v>0.33100000000000002</v>
      </c>
      <c r="ES116" s="107"/>
      <c r="ET116" s="108"/>
    </row>
    <row r="117" spans="1:150" ht="22.5" customHeight="1" x14ac:dyDescent="0.3">
      <c r="A117" s="139" t="s">
        <v>41</v>
      </c>
      <c r="B117" s="37" t="s">
        <v>48</v>
      </c>
      <c r="C117" s="48" t="s">
        <v>187</v>
      </c>
      <c r="D117" s="93" t="s">
        <v>37</v>
      </c>
      <c r="E117" s="105">
        <f t="shared" si="1076"/>
        <v>11.276999999999999</v>
      </c>
      <c r="F117" s="106">
        <f>J117</f>
        <v>11.276999999999999</v>
      </c>
      <c r="G117" s="107">
        <f>K117</f>
        <v>6.47</v>
      </c>
      <c r="H117" s="108"/>
      <c r="I117" s="105">
        <f t="shared" si="1077"/>
        <v>11.276999999999999</v>
      </c>
      <c r="J117" s="106">
        <v>11.276999999999999</v>
      </c>
      <c r="K117" s="107">
        <v>6.47</v>
      </c>
      <c r="L117" s="108"/>
      <c r="M117" s="105">
        <f t="shared" si="1168"/>
        <v>0</v>
      </c>
      <c r="N117" s="106"/>
      <c r="O117" s="107"/>
      <c r="P117" s="108"/>
      <c r="Q117" s="105">
        <f t="shared" si="1169"/>
        <v>0</v>
      </c>
      <c r="R117" s="106"/>
      <c r="S117" s="107"/>
      <c r="T117" s="108"/>
      <c r="U117" s="105">
        <f t="shared" si="1157"/>
        <v>11.276999999999999</v>
      </c>
      <c r="V117" s="106">
        <f t="shared" si="1158"/>
        <v>11.276999999999999</v>
      </c>
      <c r="W117" s="107">
        <f t="shared" si="1159"/>
        <v>6.47</v>
      </c>
      <c r="X117" s="108">
        <f t="shared" si="1160"/>
        <v>0</v>
      </c>
      <c r="Y117" s="105">
        <f t="shared" si="1161"/>
        <v>11.276999999999999</v>
      </c>
      <c r="Z117" s="106">
        <f t="shared" si="1162"/>
        <v>11.276999999999999</v>
      </c>
      <c r="AA117" s="107">
        <f t="shared" si="1163"/>
        <v>6.47</v>
      </c>
      <c r="AB117" s="108">
        <f t="shared" si="1164"/>
        <v>0</v>
      </c>
      <c r="AC117" s="105">
        <f t="shared" si="1170"/>
        <v>0</v>
      </c>
      <c r="AD117" s="106"/>
      <c r="AE117" s="107"/>
      <c r="AF117" s="108"/>
      <c r="AG117" s="105">
        <f t="shared" si="1171"/>
        <v>0</v>
      </c>
      <c r="AH117" s="106"/>
      <c r="AI117" s="107"/>
      <c r="AJ117" s="108"/>
      <c r="AK117" s="105">
        <f t="shared" si="1090"/>
        <v>11.276999999999999</v>
      </c>
      <c r="AL117" s="106">
        <f t="shared" si="1091"/>
        <v>11.276999999999999</v>
      </c>
      <c r="AM117" s="107">
        <f t="shared" si="1092"/>
        <v>6.47</v>
      </c>
      <c r="AN117" s="108">
        <f t="shared" si="1093"/>
        <v>0</v>
      </c>
      <c r="AO117" s="105">
        <f t="shared" si="1094"/>
        <v>11.276999999999999</v>
      </c>
      <c r="AP117" s="106">
        <f t="shared" si="1095"/>
        <v>11.276999999999999</v>
      </c>
      <c r="AQ117" s="107">
        <f t="shared" si="1096"/>
        <v>6.47</v>
      </c>
      <c r="AR117" s="108">
        <f t="shared" si="1097"/>
        <v>0</v>
      </c>
      <c r="AS117" s="105">
        <f t="shared" si="1098"/>
        <v>0</v>
      </c>
      <c r="AT117" s="106"/>
      <c r="AU117" s="107"/>
      <c r="AV117" s="108"/>
      <c r="AW117" s="105">
        <f t="shared" si="1172"/>
        <v>0</v>
      </c>
      <c r="AX117" s="106"/>
      <c r="AY117" s="107"/>
      <c r="AZ117" s="108"/>
      <c r="BA117" s="105">
        <f t="shared" si="1100"/>
        <v>11.276999999999999</v>
      </c>
      <c r="BB117" s="106">
        <f t="shared" si="1101"/>
        <v>11.276999999999999</v>
      </c>
      <c r="BC117" s="107">
        <f t="shared" si="1102"/>
        <v>6.47</v>
      </c>
      <c r="BD117" s="108">
        <f t="shared" si="1103"/>
        <v>0</v>
      </c>
      <c r="BE117" s="105">
        <f t="shared" si="1104"/>
        <v>11.276999999999999</v>
      </c>
      <c r="BF117" s="106">
        <f t="shared" si="1105"/>
        <v>11.276999999999999</v>
      </c>
      <c r="BG117" s="107">
        <f t="shared" si="1106"/>
        <v>6.47</v>
      </c>
      <c r="BH117" s="108">
        <f t="shared" si="1107"/>
        <v>0</v>
      </c>
      <c r="BI117" s="105">
        <f t="shared" si="1108"/>
        <v>0</v>
      </c>
      <c r="BJ117" s="106"/>
      <c r="BK117" s="107"/>
      <c r="BL117" s="108"/>
      <c r="BM117" s="105">
        <f t="shared" si="1173"/>
        <v>0</v>
      </c>
      <c r="BN117" s="106"/>
      <c r="BO117" s="107"/>
      <c r="BP117" s="108"/>
      <c r="BQ117" s="105">
        <f t="shared" si="1110"/>
        <v>11.276999999999999</v>
      </c>
      <c r="BR117" s="106">
        <f t="shared" si="1111"/>
        <v>11.276999999999999</v>
      </c>
      <c r="BS117" s="107">
        <f t="shared" si="1112"/>
        <v>6.47</v>
      </c>
      <c r="BT117" s="108">
        <f t="shared" si="1113"/>
        <v>0</v>
      </c>
      <c r="BU117" s="105">
        <f t="shared" si="1114"/>
        <v>11.276999999999999</v>
      </c>
      <c r="BV117" s="106">
        <f t="shared" si="1115"/>
        <v>11.276999999999999</v>
      </c>
      <c r="BW117" s="107">
        <f t="shared" si="1116"/>
        <v>6.47</v>
      </c>
      <c r="BX117" s="108">
        <f t="shared" si="1117"/>
        <v>0</v>
      </c>
      <c r="BY117" s="164">
        <f t="shared" si="1118"/>
        <v>0</v>
      </c>
      <c r="BZ117" s="147"/>
      <c r="CA117" s="161"/>
      <c r="CB117" s="162"/>
      <c r="CC117" s="164">
        <f t="shared" si="1174"/>
        <v>0</v>
      </c>
      <c r="CD117" s="147"/>
      <c r="CE117" s="161"/>
      <c r="CF117" s="162"/>
      <c r="CG117" s="105">
        <f t="shared" si="1120"/>
        <v>11.276999999999999</v>
      </c>
      <c r="CH117" s="106">
        <f t="shared" si="1121"/>
        <v>11.276999999999999</v>
      </c>
      <c r="CI117" s="107">
        <f t="shared" si="1122"/>
        <v>6.47</v>
      </c>
      <c r="CJ117" s="108">
        <f t="shared" si="1123"/>
        <v>0</v>
      </c>
      <c r="CK117" s="105">
        <f t="shared" si="1124"/>
        <v>11.276999999999999</v>
      </c>
      <c r="CL117" s="106">
        <f t="shared" si="1125"/>
        <v>11.276999999999999</v>
      </c>
      <c r="CM117" s="107">
        <f t="shared" si="1126"/>
        <v>6.47</v>
      </c>
      <c r="CN117" s="108">
        <f t="shared" si="1127"/>
        <v>0</v>
      </c>
      <c r="CO117" s="164">
        <f t="shared" si="1165"/>
        <v>1.075</v>
      </c>
      <c r="CP117" s="147">
        <f>CT117</f>
        <v>1.075</v>
      </c>
      <c r="CQ117" s="161">
        <f>CU117</f>
        <v>1.0620000000000001</v>
      </c>
      <c r="CR117" s="162"/>
      <c r="CS117" s="164">
        <f t="shared" si="1175"/>
        <v>1.075</v>
      </c>
      <c r="CT117" s="147">
        <v>1.075</v>
      </c>
      <c r="CU117" s="161">
        <v>1.0620000000000001</v>
      </c>
      <c r="CV117" s="162"/>
      <c r="CW117" s="105">
        <f t="shared" si="1129"/>
        <v>12.351999999999999</v>
      </c>
      <c r="CX117" s="106">
        <f t="shared" si="1130"/>
        <v>12.351999999999999</v>
      </c>
      <c r="CY117" s="107">
        <f t="shared" si="1131"/>
        <v>7.532</v>
      </c>
      <c r="CZ117" s="108">
        <f t="shared" si="1132"/>
        <v>0</v>
      </c>
      <c r="DA117" s="105">
        <f t="shared" si="1133"/>
        <v>12.351999999999999</v>
      </c>
      <c r="DB117" s="106">
        <f t="shared" si="1134"/>
        <v>12.351999999999999</v>
      </c>
      <c r="DC117" s="107">
        <f t="shared" si="1135"/>
        <v>7.532</v>
      </c>
      <c r="DD117" s="108">
        <f t="shared" si="1136"/>
        <v>0</v>
      </c>
      <c r="DE117" s="164">
        <f t="shared" si="1166"/>
        <v>0</v>
      </c>
      <c r="DF117" s="147"/>
      <c r="DG117" s="161"/>
      <c r="DH117" s="162"/>
      <c r="DI117" s="164">
        <f t="shared" si="1176"/>
        <v>0</v>
      </c>
      <c r="DJ117" s="147"/>
      <c r="DK117" s="161"/>
      <c r="DL117" s="162"/>
      <c r="DM117" s="105">
        <f t="shared" si="1138"/>
        <v>12.351999999999999</v>
      </c>
      <c r="DN117" s="106">
        <f t="shared" si="1139"/>
        <v>12.351999999999999</v>
      </c>
      <c r="DO117" s="107">
        <f t="shared" si="1140"/>
        <v>7.532</v>
      </c>
      <c r="DP117" s="108">
        <f t="shared" si="1141"/>
        <v>0</v>
      </c>
      <c r="DQ117" s="105">
        <f t="shared" si="1142"/>
        <v>12.351999999999999</v>
      </c>
      <c r="DR117" s="106">
        <f t="shared" si="1143"/>
        <v>12.351999999999999</v>
      </c>
      <c r="DS117" s="107">
        <f t="shared" si="1144"/>
        <v>7.532</v>
      </c>
      <c r="DT117" s="108">
        <f t="shared" si="1145"/>
        <v>0</v>
      </c>
      <c r="DU117" s="164">
        <f t="shared" si="1167"/>
        <v>0</v>
      </c>
      <c r="DV117" s="147"/>
      <c r="DW117" s="161"/>
      <c r="DX117" s="162"/>
      <c r="DY117" s="164">
        <f t="shared" si="1177"/>
        <v>0</v>
      </c>
      <c r="DZ117" s="147"/>
      <c r="EA117" s="161"/>
      <c r="EB117" s="162"/>
      <c r="EC117" s="105">
        <f t="shared" si="1147"/>
        <v>12.351999999999999</v>
      </c>
      <c r="ED117" s="106">
        <f t="shared" si="1148"/>
        <v>12.351999999999999</v>
      </c>
      <c r="EE117" s="107">
        <f t="shared" si="1149"/>
        <v>7.532</v>
      </c>
      <c r="EF117" s="108">
        <f t="shared" si="1150"/>
        <v>0</v>
      </c>
      <c r="EG117" s="105">
        <f t="shared" si="1151"/>
        <v>12.351999999999999</v>
      </c>
      <c r="EH117" s="106">
        <f t="shared" si="1152"/>
        <v>12.351999999999999</v>
      </c>
      <c r="EI117" s="107">
        <f t="shared" si="1153"/>
        <v>7.532</v>
      </c>
      <c r="EJ117" s="108">
        <f t="shared" si="1154"/>
        <v>0</v>
      </c>
      <c r="EK117" s="154">
        <f t="shared" si="648"/>
        <v>-11.276999999999999</v>
      </c>
      <c r="EL117" s="154">
        <f t="shared" si="649"/>
        <v>-12.351999999999999</v>
      </c>
      <c r="EM117" s="105">
        <f t="shared" si="1155"/>
        <v>0</v>
      </c>
      <c r="EN117" s="106">
        <f>ER117</f>
        <v>0</v>
      </c>
      <c r="EO117" s="107">
        <f>ES117</f>
        <v>0</v>
      </c>
      <c r="EP117" s="108"/>
      <c r="EQ117" s="105">
        <f t="shared" si="1156"/>
        <v>0</v>
      </c>
      <c r="ER117" s="106"/>
      <c r="ES117" s="107"/>
      <c r="ET117" s="108"/>
    </row>
    <row r="118" spans="1:150" s="4" customFormat="1" ht="21.65" customHeight="1" x14ac:dyDescent="0.25">
      <c r="A118" s="704" t="s">
        <v>7</v>
      </c>
      <c r="B118" s="702" t="s">
        <v>49</v>
      </c>
      <c r="C118" s="48" t="s">
        <v>188</v>
      </c>
      <c r="D118" s="93" t="s">
        <v>37</v>
      </c>
      <c r="E118" s="105">
        <f t="shared" si="1076"/>
        <v>165.221</v>
      </c>
      <c r="F118" s="106">
        <f>J118</f>
        <v>80.555000000000007</v>
      </c>
      <c r="G118" s="107">
        <f>K118</f>
        <v>26.31</v>
      </c>
      <c r="H118" s="108">
        <f>L118</f>
        <v>84.665999999999997</v>
      </c>
      <c r="I118" s="105">
        <f t="shared" si="1077"/>
        <v>165.221</v>
      </c>
      <c r="J118" s="106">
        <v>80.555000000000007</v>
      </c>
      <c r="K118" s="107">
        <v>26.31</v>
      </c>
      <c r="L118" s="108">
        <v>84.665999999999997</v>
      </c>
      <c r="M118" s="105">
        <f t="shared" si="1168"/>
        <v>0</v>
      </c>
      <c r="N118" s="106"/>
      <c r="O118" s="107"/>
      <c r="P118" s="108"/>
      <c r="Q118" s="105">
        <f t="shared" si="1169"/>
        <v>0</v>
      </c>
      <c r="R118" s="106"/>
      <c r="S118" s="107"/>
      <c r="T118" s="108"/>
      <c r="U118" s="105">
        <f t="shared" si="1157"/>
        <v>165.221</v>
      </c>
      <c r="V118" s="106">
        <f t="shared" si="1158"/>
        <v>80.555000000000007</v>
      </c>
      <c r="W118" s="107">
        <f t="shared" si="1159"/>
        <v>26.31</v>
      </c>
      <c r="X118" s="108">
        <f t="shared" si="1160"/>
        <v>84.665999999999997</v>
      </c>
      <c r="Y118" s="105">
        <f t="shared" si="1161"/>
        <v>165.221</v>
      </c>
      <c r="Z118" s="106">
        <f t="shared" si="1162"/>
        <v>80.555000000000007</v>
      </c>
      <c r="AA118" s="107">
        <f t="shared" si="1163"/>
        <v>26.31</v>
      </c>
      <c r="AB118" s="108">
        <f t="shared" si="1164"/>
        <v>84.665999999999997</v>
      </c>
      <c r="AC118" s="105">
        <f t="shared" si="1170"/>
        <v>0</v>
      </c>
      <c r="AD118" s="106"/>
      <c r="AE118" s="107"/>
      <c r="AF118" s="108"/>
      <c r="AG118" s="105">
        <f t="shared" si="1171"/>
        <v>0</v>
      </c>
      <c r="AH118" s="106"/>
      <c r="AI118" s="107"/>
      <c r="AJ118" s="108"/>
      <c r="AK118" s="105">
        <f t="shared" si="1090"/>
        <v>165.221</v>
      </c>
      <c r="AL118" s="106">
        <f t="shared" si="1091"/>
        <v>80.555000000000007</v>
      </c>
      <c r="AM118" s="107">
        <f t="shared" si="1092"/>
        <v>26.31</v>
      </c>
      <c r="AN118" s="108">
        <f t="shared" si="1093"/>
        <v>84.665999999999997</v>
      </c>
      <c r="AO118" s="105">
        <f t="shared" si="1094"/>
        <v>165.221</v>
      </c>
      <c r="AP118" s="106">
        <f t="shared" si="1095"/>
        <v>80.555000000000007</v>
      </c>
      <c r="AQ118" s="107">
        <f t="shared" si="1096"/>
        <v>26.31</v>
      </c>
      <c r="AR118" s="108">
        <f t="shared" si="1097"/>
        <v>84.665999999999997</v>
      </c>
      <c r="AS118" s="105">
        <f t="shared" si="1098"/>
        <v>0</v>
      </c>
      <c r="AT118" s="106"/>
      <c r="AU118" s="107"/>
      <c r="AV118" s="108"/>
      <c r="AW118" s="105">
        <f t="shared" si="1172"/>
        <v>0</v>
      </c>
      <c r="AX118" s="106"/>
      <c r="AY118" s="107"/>
      <c r="AZ118" s="108"/>
      <c r="BA118" s="105">
        <f t="shared" si="1100"/>
        <v>165.221</v>
      </c>
      <c r="BB118" s="106">
        <f t="shared" si="1101"/>
        <v>80.555000000000007</v>
      </c>
      <c r="BC118" s="107">
        <f t="shared" si="1102"/>
        <v>26.31</v>
      </c>
      <c r="BD118" s="108">
        <f t="shared" si="1103"/>
        <v>84.665999999999997</v>
      </c>
      <c r="BE118" s="105">
        <f t="shared" si="1104"/>
        <v>165.221</v>
      </c>
      <c r="BF118" s="106">
        <f t="shared" si="1105"/>
        <v>80.555000000000007</v>
      </c>
      <c r="BG118" s="107">
        <f t="shared" si="1106"/>
        <v>26.31</v>
      </c>
      <c r="BH118" s="108">
        <f t="shared" si="1107"/>
        <v>84.665999999999997</v>
      </c>
      <c r="BI118" s="105">
        <f t="shared" si="1108"/>
        <v>13.788</v>
      </c>
      <c r="BJ118" s="106">
        <v>3.8159999999999998</v>
      </c>
      <c r="BK118" s="107"/>
      <c r="BL118" s="108">
        <v>9.9719999999999995</v>
      </c>
      <c r="BM118" s="105">
        <f t="shared" si="1173"/>
        <v>0</v>
      </c>
      <c r="BN118" s="106"/>
      <c r="BO118" s="107"/>
      <c r="BP118" s="108"/>
      <c r="BQ118" s="105">
        <f t="shared" si="1110"/>
        <v>179.00900000000001</v>
      </c>
      <c r="BR118" s="106">
        <f t="shared" si="1111"/>
        <v>84.371000000000009</v>
      </c>
      <c r="BS118" s="107">
        <f t="shared" si="1112"/>
        <v>26.31</v>
      </c>
      <c r="BT118" s="108">
        <f t="shared" si="1113"/>
        <v>94.637999999999991</v>
      </c>
      <c r="BU118" s="105">
        <f t="shared" si="1114"/>
        <v>165.221</v>
      </c>
      <c r="BV118" s="106">
        <f t="shared" si="1115"/>
        <v>80.555000000000007</v>
      </c>
      <c r="BW118" s="107">
        <f t="shared" si="1116"/>
        <v>26.31</v>
      </c>
      <c r="BX118" s="108">
        <f t="shared" si="1117"/>
        <v>84.665999999999997</v>
      </c>
      <c r="BY118" s="164">
        <f t="shared" si="1118"/>
        <v>0</v>
      </c>
      <c r="BZ118" s="147"/>
      <c r="CA118" s="161"/>
      <c r="CB118" s="162"/>
      <c r="CC118" s="164">
        <f t="shared" si="1174"/>
        <v>0</v>
      </c>
      <c r="CD118" s="147"/>
      <c r="CE118" s="161"/>
      <c r="CF118" s="162"/>
      <c r="CG118" s="105">
        <f t="shared" si="1120"/>
        <v>179.00900000000001</v>
      </c>
      <c r="CH118" s="106">
        <f t="shared" si="1121"/>
        <v>84.371000000000009</v>
      </c>
      <c r="CI118" s="107">
        <f t="shared" si="1122"/>
        <v>26.31</v>
      </c>
      <c r="CJ118" s="108">
        <f t="shared" si="1123"/>
        <v>94.637999999999991</v>
      </c>
      <c r="CK118" s="105">
        <f t="shared" si="1124"/>
        <v>165.221</v>
      </c>
      <c r="CL118" s="106">
        <f t="shared" si="1125"/>
        <v>80.555000000000007</v>
      </c>
      <c r="CM118" s="107">
        <f t="shared" si="1126"/>
        <v>26.31</v>
      </c>
      <c r="CN118" s="108">
        <f t="shared" si="1127"/>
        <v>84.665999999999997</v>
      </c>
      <c r="CO118" s="164">
        <f t="shared" si="1165"/>
        <v>9.4000000000000083E-2</v>
      </c>
      <c r="CP118" s="147">
        <v>1.169</v>
      </c>
      <c r="CQ118" s="161"/>
      <c r="CR118" s="162">
        <f>CV118</f>
        <v>-1.075</v>
      </c>
      <c r="CS118" s="164">
        <f t="shared" si="1175"/>
        <v>-1.075</v>
      </c>
      <c r="CT118" s="147"/>
      <c r="CU118" s="161"/>
      <c r="CV118" s="162">
        <v>-1.075</v>
      </c>
      <c r="CW118" s="105">
        <f t="shared" si="1129"/>
        <v>179.10300000000001</v>
      </c>
      <c r="CX118" s="106">
        <f t="shared" si="1130"/>
        <v>85.54</v>
      </c>
      <c r="CY118" s="107">
        <f t="shared" si="1131"/>
        <v>26.31</v>
      </c>
      <c r="CZ118" s="108">
        <f t="shared" si="1132"/>
        <v>93.562999999999988</v>
      </c>
      <c r="DA118" s="105">
        <f t="shared" si="1133"/>
        <v>164.14600000000002</v>
      </c>
      <c r="DB118" s="106">
        <f t="shared" si="1134"/>
        <v>80.555000000000007</v>
      </c>
      <c r="DC118" s="107">
        <f t="shared" si="1135"/>
        <v>26.31</v>
      </c>
      <c r="DD118" s="108">
        <f t="shared" si="1136"/>
        <v>83.590999999999994</v>
      </c>
      <c r="DE118" s="164">
        <f t="shared" si="1166"/>
        <v>0</v>
      </c>
      <c r="DF118" s="147"/>
      <c r="DG118" s="161"/>
      <c r="DH118" s="162"/>
      <c r="DI118" s="164">
        <f t="shared" si="1176"/>
        <v>0</v>
      </c>
      <c r="DJ118" s="147"/>
      <c r="DK118" s="161"/>
      <c r="DL118" s="162"/>
      <c r="DM118" s="105">
        <f t="shared" si="1138"/>
        <v>179.10300000000001</v>
      </c>
      <c r="DN118" s="106">
        <f t="shared" si="1139"/>
        <v>85.54</v>
      </c>
      <c r="DO118" s="107">
        <f t="shared" si="1140"/>
        <v>26.31</v>
      </c>
      <c r="DP118" s="108">
        <f t="shared" si="1141"/>
        <v>93.562999999999988</v>
      </c>
      <c r="DQ118" s="105">
        <f t="shared" si="1142"/>
        <v>164.14600000000002</v>
      </c>
      <c r="DR118" s="106">
        <f t="shared" si="1143"/>
        <v>80.555000000000007</v>
      </c>
      <c r="DS118" s="107">
        <f t="shared" si="1144"/>
        <v>26.31</v>
      </c>
      <c r="DT118" s="108">
        <f t="shared" si="1145"/>
        <v>83.590999999999994</v>
      </c>
      <c r="DU118" s="164">
        <f t="shared" si="1167"/>
        <v>0</v>
      </c>
      <c r="DV118" s="147"/>
      <c r="DW118" s="161"/>
      <c r="DX118" s="162"/>
      <c r="DY118" s="164">
        <f t="shared" si="1177"/>
        <v>0</v>
      </c>
      <c r="DZ118" s="147"/>
      <c r="EA118" s="161"/>
      <c r="EB118" s="162"/>
      <c r="EC118" s="105">
        <f t="shared" si="1147"/>
        <v>179.10300000000001</v>
      </c>
      <c r="ED118" s="106">
        <f t="shared" si="1148"/>
        <v>85.54</v>
      </c>
      <c r="EE118" s="107">
        <f t="shared" si="1149"/>
        <v>26.31</v>
      </c>
      <c r="EF118" s="108">
        <f t="shared" si="1150"/>
        <v>93.562999999999988</v>
      </c>
      <c r="EG118" s="105">
        <f t="shared" si="1151"/>
        <v>164.14600000000002</v>
      </c>
      <c r="EH118" s="106">
        <f t="shared" si="1152"/>
        <v>80.555000000000007</v>
      </c>
      <c r="EI118" s="107">
        <f t="shared" si="1153"/>
        <v>26.31</v>
      </c>
      <c r="EJ118" s="108">
        <f t="shared" si="1154"/>
        <v>83.590999999999994</v>
      </c>
      <c r="EK118" s="154">
        <f t="shared" si="648"/>
        <v>-136.221</v>
      </c>
      <c r="EL118" s="154">
        <f t="shared" si="649"/>
        <v>-150.10300000000001</v>
      </c>
      <c r="EM118" s="105">
        <f t="shared" si="1155"/>
        <v>29</v>
      </c>
      <c r="EN118" s="106">
        <f>ER118</f>
        <v>17</v>
      </c>
      <c r="EO118" s="107">
        <f>ES118</f>
        <v>8.5</v>
      </c>
      <c r="EP118" s="108">
        <f>ET118</f>
        <v>12</v>
      </c>
      <c r="EQ118" s="105">
        <f t="shared" si="1156"/>
        <v>29</v>
      </c>
      <c r="ER118" s="106">
        <f>29-12</f>
        <v>17</v>
      </c>
      <c r="ES118" s="107">
        <v>8.5</v>
      </c>
      <c r="ET118" s="108">
        <v>12</v>
      </c>
    </row>
    <row r="119" spans="1:150" s="4" customFormat="1" ht="21.65" hidden="1" customHeight="1" x14ac:dyDescent="0.25">
      <c r="A119" s="705"/>
      <c r="B119" s="703"/>
      <c r="C119" s="48" t="s">
        <v>223</v>
      </c>
      <c r="D119" s="139" t="s">
        <v>52</v>
      </c>
      <c r="E119" s="105"/>
      <c r="F119" s="106"/>
      <c r="G119" s="107"/>
      <c r="H119" s="108"/>
      <c r="I119" s="105"/>
      <c r="J119" s="106"/>
      <c r="K119" s="107"/>
      <c r="L119" s="108"/>
      <c r="M119" s="105"/>
      <c r="N119" s="106"/>
      <c r="O119" s="107"/>
      <c r="P119" s="108"/>
      <c r="Q119" s="105"/>
      <c r="R119" s="106"/>
      <c r="S119" s="107"/>
      <c r="T119" s="108"/>
      <c r="U119" s="105"/>
      <c r="V119" s="106"/>
      <c r="W119" s="107"/>
      <c r="X119" s="108"/>
      <c r="Y119" s="105"/>
      <c r="Z119" s="106"/>
      <c r="AA119" s="107"/>
      <c r="AB119" s="108"/>
      <c r="AC119" s="105"/>
      <c r="AD119" s="106"/>
      <c r="AE119" s="107"/>
      <c r="AF119" s="108"/>
      <c r="AG119" s="105"/>
      <c r="AH119" s="106"/>
      <c r="AI119" s="107"/>
      <c r="AJ119" s="108"/>
      <c r="AK119" s="105"/>
      <c r="AL119" s="106"/>
      <c r="AM119" s="107"/>
      <c r="AN119" s="108"/>
      <c r="AO119" s="105"/>
      <c r="AP119" s="106"/>
      <c r="AQ119" s="107"/>
      <c r="AR119" s="108"/>
      <c r="AS119" s="105"/>
      <c r="AT119" s="106"/>
      <c r="AU119" s="107"/>
      <c r="AV119" s="108"/>
      <c r="AW119" s="105"/>
      <c r="AX119" s="106"/>
      <c r="AY119" s="107"/>
      <c r="AZ119" s="108"/>
      <c r="BA119" s="105"/>
      <c r="BB119" s="106"/>
      <c r="BC119" s="107"/>
      <c r="BD119" s="108"/>
      <c r="BE119" s="105"/>
      <c r="BF119" s="106"/>
      <c r="BG119" s="107"/>
      <c r="BH119" s="108"/>
      <c r="BI119" s="105"/>
      <c r="BJ119" s="106"/>
      <c r="BK119" s="107"/>
      <c r="BL119" s="108"/>
      <c r="BM119" s="105"/>
      <c r="BN119" s="106"/>
      <c r="BO119" s="107"/>
      <c r="BP119" s="108"/>
      <c r="BQ119" s="105"/>
      <c r="BR119" s="106"/>
      <c r="BS119" s="107"/>
      <c r="BT119" s="108"/>
      <c r="BU119" s="105"/>
      <c r="BV119" s="106"/>
      <c r="BW119" s="107"/>
      <c r="BX119" s="108"/>
      <c r="BY119" s="164"/>
      <c r="BZ119" s="147"/>
      <c r="CA119" s="161"/>
      <c r="CB119" s="162"/>
      <c r="CC119" s="164"/>
      <c r="CD119" s="147"/>
      <c r="CE119" s="161"/>
      <c r="CF119" s="162"/>
      <c r="CG119" s="105"/>
      <c r="CH119" s="106"/>
      <c r="CI119" s="107"/>
      <c r="CJ119" s="108"/>
      <c r="CK119" s="105"/>
      <c r="CL119" s="106"/>
      <c r="CM119" s="107"/>
      <c r="CN119" s="108"/>
      <c r="CO119" s="164"/>
      <c r="CP119" s="147"/>
      <c r="CQ119" s="161"/>
      <c r="CR119" s="162"/>
      <c r="CS119" s="164"/>
      <c r="CT119" s="147"/>
      <c r="CU119" s="161"/>
      <c r="CV119" s="162"/>
      <c r="CW119" s="105"/>
      <c r="CX119" s="106"/>
      <c r="CY119" s="107"/>
      <c r="CZ119" s="108"/>
      <c r="DA119" s="105"/>
      <c r="DB119" s="106"/>
      <c r="DC119" s="107"/>
      <c r="DD119" s="108"/>
      <c r="DE119" s="164"/>
      <c r="DF119" s="147"/>
      <c r="DG119" s="161"/>
      <c r="DH119" s="162"/>
      <c r="DI119" s="164"/>
      <c r="DJ119" s="147"/>
      <c r="DK119" s="161"/>
      <c r="DL119" s="162"/>
      <c r="DM119" s="105"/>
      <c r="DN119" s="106"/>
      <c r="DO119" s="107"/>
      <c r="DP119" s="108"/>
      <c r="DQ119" s="105"/>
      <c r="DR119" s="106"/>
      <c r="DS119" s="107"/>
      <c r="DT119" s="108"/>
      <c r="DU119" s="164"/>
      <c r="DV119" s="147"/>
      <c r="DW119" s="161"/>
      <c r="DX119" s="162"/>
      <c r="DY119" s="164"/>
      <c r="DZ119" s="147"/>
      <c r="EA119" s="161"/>
      <c r="EB119" s="162"/>
      <c r="EC119" s="105"/>
      <c r="ED119" s="106"/>
      <c r="EE119" s="107"/>
      <c r="EF119" s="108"/>
      <c r="EG119" s="105"/>
      <c r="EH119" s="106"/>
      <c r="EI119" s="107"/>
      <c r="EJ119" s="108"/>
      <c r="EK119" s="215">
        <f t="shared" si="648"/>
        <v>0</v>
      </c>
      <c r="EL119" s="215">
        <f t="shared" si="649"/>
        <v>0</v>
      </c>
      <c r="EM119" s="105">
        <f t="shared" si="1155"/>
        <v>0</v>
      </c>
      <c r="EN119" s="106"/>
      <c r="EO119" s="107"/>
      <c r="EP119" s="108"/>
      <c r="EQ119" s="105"/>
      <c r="ER119" s="106"/>
      <c r="ES119" s="107"/>
      <c r="ET119" s="108"/>
    </row>
    <row r="120" spans="1:150" ht="23.25" customHeight="1" x14ac:dyDescent="0.3">
      <c r="A120" s="46"/>
      <c r="B120" s="53" t="s">
        <v>158</v>
      </c>
      <c r="C120" s="47" t="s">
        <v>106</v>
      </c>
      <c r="D120" s="94"/>
      <c r="E120" s="148">
        <f t="shared" si="1076"/>
        <v>97.438999999999993</v>
      </c>
      <c r="F120" s="149">
        <f>SUM(F122:F125)</f>
        <v>97.438999999999993</v>
      </c>
      <c r="G120" s="150">
        <f>SUM(G122:G125)</f>
        <v>71.63</v>
      </c>
      <c r="H120" s="151">
        <f>SUM(H122:H125)</f>
        <v>0</v>
      </c>
      <c r="I120" s="148">
        <f t="shared" si="1077"/>
        <v>1.909</v>
      </c>
      <c r="J120" s="149">
        <f>SUM(J122:J125)</f>
        <v>1.909</v>
      </c>
      <c r="K120" s="150">
        <f>SUM(K122:K125)</f>
        <v>0</v>
      </c>
      <c r="L120" s="151">
        <f>SUM(L122:L125)</f>
        <v>0</v>
      </c>
      <c r="M120" s="148">
        <f t="shared" si="1168"/>
        <v>0</v>
      </c>
      <c r="N120" s="149">
        <f>SUM(N122:N125)</f>
        <v>0</v>
      </c>
      <c r="O120" s="150">
        <f>SUM(O122:O125)</f>
        <v>0.28399999999999997</v>
      </c>
      <c r="P120" s="151">
        <f>SUM(P122:P125)</f>
        <v>0</v>
      </c>
      <c r="Q120" s="148">
        <f t="shared" si="1169"/>
        <v>0</v>
      </c>
      <c r="R120" s="149">
        <f>SUM(R122:R125)</f>
        <v>0</v>
      </c>
      <c r="S120" s="150">
        <f>SUM(S122:S125)</f>
        <v>0</v>
      </c>
      <c r="T120" s="151">
        <f>SUM(T122:T125)</f>
        <v>0</v>
      </c>
      <c r="U120" s="148">
        <f t="shared" ref="U120" si="1178">SUM(V120,X120)</f>
        <v>97.438999999999993</v>
      </c>
      <c r="V120" s="149">
        <f>SUM(V122:V125)</f>
        <v>97.438999999999993</v>
      </c>
      <c r="W120" s="150">
        <f>SUM(W122:W125)</f>
        <v>71.914000000000001</v>
      </c>
      <c r="X120" s="151">
        <f>SUM(X122:X125)</f>
        <v>0</v>
      </c>
      <c r="Y120" s="148">
        <f t="shared" ref="Y120" si="1179">SUM(Z120,AB120)</f>
        <v>1.909</v>
      </c>
      <c r="Z120" s="149">
        <f>SUM(Z122:Z125)</f>
        <v>1.909</v>
      </c>
      <c r="AA120" s="150">
        <f>SUM(AA122:AA125)</f>
        <v>0</v>
      </c>
      <c r="AB120" s="151">
        <f>SUM(AB122:AB125)</f>
        <v>0</v>
      </c>
      <c r="AC120" s="148">
        <f t="shared" si="1170"/>
        <v>0</v>
      </c>
      <c r="AD120" s="149">
        <f>SUM(AD122:AD125)</f>
        <v>0</v>
      </c>
      <c r="AE120" s="150">
        <f>SUM(AE122:AE125)</f>
        <v>0</v>
      </c>
      <c r="AF120" s="151">
        <f>SUM(AF122:AF125)</f>
        <v>0</v>
      </c>
      <c r="AG120" s="148">
        <f t="shared" si="1171"/>
        <v>0</v>
      </c>
      <c r="AH120" s="149">
        <f>SUM(AH122:AH125)</f>
        <v>0</v>
      </c>
      <c r="AI120" s="150">
        <f>SUM(AI122:AI125)</f>
        <v>0</v>
      </c>
      <c r="AJ120" s="151">
        <f>SUM(AJ122:AJ125)</f>
        <v>0</v>
      </c>
      <c r="AK120" s="148">
        <f t="shared" si="1090"/>
        <v>97.438999999999993</v>
      </c>
      <c r="AL120" s="149">
        <f>SUM(AL122:AL125)</f>
        <v>97.438999999999993</v>
      </c>
      <c r="AM120" s="150">
        <f>SUM(AM122:AM125)</f>
        <v>71.914000000000001</v>
      </c>
      <c r="AN120" s="151">
        <f>SUM(AN122:AN125)</f>
        <v>0</v>
      </c>
      <c r="AO120" s="148">
        <f t="shared" si="1094"/>
        <v>1.909</v>
      </c>
      <c r="AP120" s="149">
        <f>SUM(AP122:AP125)</f>
        <v>1.909</v>
      </c>
      <c r="AQ120" s="150">
        <f>SUM(AQ122:AQ125)</f>
        <v>0</v>
      </c>
      <c r="AR120" s="151">
        <f>SUM(AR122:AR125)</f>
        <v>0</v>
      </c>
      <c r="AS120" s="148">
        <f t="shared" si="1098"/>
        <v>-3.4630000000000001</v>
      </c>
      <c r="AT120" s="149">
        <f>SUM(AT122:AT125)</f>
        <v>-3.4630000000000001</v>
      </c>
      <c r="AU120" s="150">
        <f>SUM(AU122:AU125)</f>
        <v>-5.8209999999999997</v>
      </c>
      <c r="AV120" s="151">
        <f>SUM(AV122:AV125)</f>
        <v>0</v>
      </c>
      <c r="AW120" s="148">
        <f t="shared" si="1172"/>
        <v>0</v>
      </c>
      <c r="AX120" s="149">
        <f>SUM(AX122:AX125)</f>
        <v>0</v>
      </c>
      <c r="AY120" s="150">
        <f>SUM(AY122:AY125)</f>
        <v>0</v>
      </c>
      <c r="AZ120" s="151">
        <f>SUM(AZ122:AZ125)</f>
        <v>0</v>
      </c>
      <c r="BA120" s="148">
        <f t="shared" si="1100"/>
        <v>93.975999999999985</v>
      </c>
      <c r="BB120" s="149">
        <f>SUM(BB122:BB125)</f>
        <v>93.975999999999985</v>
      </c>
      <c r="BC120" s="150">
        <f>SUM(BC122:BC125)</f>
        <v>66.093000000000004</v>
      </c>
      <c r="BD120" s="151">
        <f>SUM(BD122:BD125)</f>
        <v>0</v>
      </c>
      <c r="BE120" s="148">
        <f t="shared" si="1104"/>
        <v>1.909</v>
      </c>
      <c r="BF120" s="149">
        <f>SUM(BF122:BF125)</f>
        <v>1.909</v>
      </c>
      <c r="BG120" s="150">
        <f>SUM(BG122:BG125)</f>
        <v>0</v>
      </c>
      <c r="BH120" s="151">
        <f>SUM(BH122:BH125)</f>
        <v>0</v>
      </c>
      <c r="BI120" s="148">
        <f t="shared" si="1108"/>
        <v>0</v>
      </c>
      <c r="BJ120" s="149">
        <f>SUM(BJ122:BJ125)</f>
        <v>0</v>
      </c>
      <c r="BK120" s="150">
        <f>SUM(BK122:BK125)</f>
        <v>0</v>
      </c>
      <c r="BL120" s="151">
        <f>SUM(BL122:BL125)</f>
        <v>0</v>
      </c>
      <c r="BM120" s="148">
        <f t="shared" si="1173"/>
        <v>0</v>
      </c>
      <c r="BN120" s="149">
        <f>SUM(BN122:BN125)</f>
        <v>0</v>
      </c>
      <c r="BO120" s="150">
        <f>SUM(BO122:BO125)</f>
        <v>0</v>
      </c>
      <c r="BP120" s="151">
        <f>SUM(BP122:BP125)</f>
        <v>0</v>
      </c>
      <c r="BQ120" s="148">
        <f t="shared" si="1110"/>
        <v>93.975999999999985</v>
      </c>
      <c r="BR120" s="149">
        <f>SUM(BR122:BR125)</f>
        <v>93.975999999999985</v>
      </c>
      <c r="BS120" s="150">
        <f>SUM(BS122:BS125)</f>
        <v>66.093000000000004</v>
      </c>
      <c r="BT120" s="151">
        <f>SUM(BT122:BT125)</f>
        <v>0</v>
      </c>
      <c r="BU120" s="148">
        <f t="shared" si="1114"/>
        <v>1.909</v>
      </c>
      <c r="BV120" s="149">
        <f>SUM(BV122:BV125)</f>
        <v>1.909</v>
      </c>
      <c r="BW120" s="150">
        <f>SUM(BW122:BW125)</f>
        <v>0</v>
      </c>
      <c r="BX120" s="151">
        <f>SUM(BX122:BX125)</f>
        <v>0</v>
      </c>
      <c r="BY120" s="175">
        <f t="shared" si="1118"/>
        <v>0</v>
      </c>
      <c r="BZ120" s="176">
        <f>SUM(BZ122:BZ125)</f>
        <v>0</v>
      </c>
      <c r="CA120" s="177">
        <f>SUM(CA122:CA125)</f>
        <v>-7.4999999999999997E-2</v>
      </c>
      <c r="CB120" s="178">
        <f>SUM(CB122:CB125)</f>
        <v>0</v>
      </c>
      <c r="CC120" s="175">
        <f t="shared" si="1174"/>
        <v>0</v>
      </c>
      <c r="CD120" s="176">
        <f>SUM(CD122:CD125)</f>
        <v>0</v>
      </c>
      <c r="CE120" s="177">
        <f>SUM(CE122:CE125)</f>
        <v>0</v>
      </c>
      <c r="CF120" s="178">
        <f>SUM(CF122:CF125)</f>
        <v>0</v>
      </c>
      <c r="CG120" s="148">
        <f t="shared" si="1120"/>
        <v>93.975999999999985</v>
      </c>
      <c r="CH120" s="149">
        <f>SUM(CH122:CH125)</f>
        <v>93.975999999999985</v>
      </c>
      <c r="CI120" s="150">
        <f>SUM(CI122:CI125)</f>
        <v>66.018000000000001</v>
      </c>
      <c r="CJ120" s="151">
        <f>SUM(CJ122:CJ125)</f>
        <v>0</v>
      </c>
      <c r="CK120" s="148">
        <f t="shared" si="1124"/>
        <v>1.909</v>
      </c>
      <c r="CL120" s="149">
        <f>SUM(CL122:CL125)</f>
        <v>1.909</v>
      </c>
      <c r="CM120" s="150">
        <f>SUM(CM122:CM125)</f>
        <v>0</v>
      </c>
      <c r="CN120" s="151">
        <f>SUM(CN122:CN125)</f>
        <v>0</v>
      </c>
      <c r="CO120" s="175">
        <f t="shared" si="1165"/>
        <v>2</v>
      </c>
      <c r="CP120" s="176">
        <f>SUM(CP122:CP125)</f>
        <v>2</v>
      </c>
      <c r="CQ120" s="177">
        <f>SUM(CQ122:CQ125)</f>
        <v>0</v>
      </c>
      <c r="CR120" s="178">
        <f>SUM(CR122:CR125)</f>
        <v>0</v>
      </c>
      <c r="CS120" s="175">
        <f t="shared" si="1175"/>
        <v>0</v>
      </c>
      <c r="CT120" s="176">
        <f>SUM(CT122:CT125)</f>
        <v>0</v>
      </c>
      <c r="CU120" s="177">
        <f>SUM(CU122:CU125)</f>
        <v>0</v>
      </c>
      <c r="CV120" s="178">
        <f>SUM(CV122:CV125)</f>
        <v>0</v>
      </c>
      <c r="CW120" s="148">
        <f t="shared" si="1129"/>
        <v>95.975999999999985</v>
      </c>
      <c r="CX120" s="149">
        <f>SUM(CX122:CX125)</f>
        <v>95.975999999999985</v>
      </c>
      <c r="CY120" s="150">
        <f>SUM(CY122:CY125)</f>
        <v>66.018000000000001</v>
      </c>
      <c r="CZ120" s="151">
        <f>SUM(CZ122:CZ125)</f>
        <v>0</v>
      </c>
      <c r="DA120" s="148">
        <f t="shared" si="1133"/>
        <v>1.909</v>
      </c>
      <c r="DB120" s="149">
        <f>SUM(DB122:DB125)</f>
        <v>1.909</v>
      </c>
      <c r="DC120" s="150">
        <f>SUM(DC122:DC125)</f>
        <v>0</v>
      </c>
      <c r="DD120" s="151">
        <f>SUM(DD122:DD125)</f>
        <v>0</v>
      </c>
      <c r="DE120" s="175">
        <f t="shared" si="1166"/>
        <v>0</v>
      </c>
      <c r="DF120" s="176">
        <f>SUM(DF122:DF125)</f>
        <v>0</v>
      </c>
      <c r="DG120" s="177">
        <f>SUM(DG122:DG125)</f>
        <v>0</v>
      </c>
      <c r="DH120" s="178">
        <f>SUM(DH122:DH125)</f>
        <v>0</v>
      </c>
      <c r="DI120" s="175">
        <f t="shared" si="1176"/>
        <v>0</v>
      </c>
      <c r="DJ120" s="176">
        <f>SUM(DJ122:DJ125)</f>
        <v>0</v>
      </c>
      <c r="DK120" s="177">
        <f>SUM(DK122:DK125)</f>
        <v>0</v>
      </c>
      <c r="DL120" s="178">
        <f>SUM(DL122:DL125)</f>
        <v>0</v>
      </c>
      <c r="DM120" s="148">
        <f t="shared" si="1138"/>
        <v>95.975999999999985</v>
      </c>
      <c r="DN120" s="149">
        <f>SUM(DN122:DN125)</f>
        <v>95.975999999999985</v>
      </c>
      <c r="DO120" s="150">
        <f>SUM(DO122:DO125)</f>
        <v>66.018000000000001</v>
      </c>
      <c r="DP120" s="151">
        <f>SUM(DP122:DP125)</f>
        <v>0</v>
      </c>
      <c r="DQ120" s="148">
        <f t="shared" si="1142"/>
        <v>1.909</v>
      </c>
      <c r="DR120" s="149">
        <f>SUM(DR122:DR125)</f>
        <v>1.909</v>
      </c>
      <c r="DS120" s="150">
        <f>SUM(DS122:DS125)</f>
        <v>0</v>
      </c>
      <c r="DT120" s="151">
        <f>SUM(DT122:DT125)</f>
        <v>0</v>
      </c>
      <c r="DU120" s="175">
        <f t="shared" si="1167"/>
        <v>0</v>
      </c>
      <c r="DV120" s="176">
        <f>SUM(DV122:DV125)</f>
        <v>0</v>
      </c>
      <c r="DW120" s="177">
        <f>SUM(DW122:DW125)</f>
        <v>-0.45100000000000001</v>
      </c>
      <c r="DX120" s="178">
        <f>SUM(DX122:DX125)</f>
        <v>0</v>
      </c>
      <c r="DY120" s="175">
        <f t="shared" si="1177"/>
        <v>0</v>
      </c>
      <c r="DZ120" s="176">
        <f>SUM(DZ122:DZ125)</f>
        <v>0</v>
      </c>
      <c r="EA120" s="177">
        <f>SUM(EA122:EA125)</f>
        <v>0</v>
      </c>
      <c r="EB120" s="178">
        <f>SUM(EB122:EB125)</f>
        <v>0</v>
      </c>
      <c r="EC120" s="148">
        <f t="shared" si="1147"/>
        <v>95.975999999999985</v>
      </c>
      <c r="ED120" s="149">
        <f>SUM(ED122:ED125)</f>
        <v>95.975999999999985</v>
      </c>
      <c r="EE120" s="150">
        <f>SUM(EE122:EE125)</f>
        <v>65.567000000000007</v>
      </c>
      <c r="EF120" s="151">
        <f>SUM(EF122:EF125)</f>
        <v>0</v>
      </c>
      <c r="EG120" s="148">
        <f t="shared" si="1151"/>
        <v>1.909</v>
      </c>
      <c r="EH120" s="149">
        <f>SUM(EH122:EH125)</f>
        <v>1.909</v>
      </c>
      <c r="EI120" s="150">
        <f>SUM(EI122:EI125)</f>
        <v>0</v>
      </c>
      <c r="EJ120" s="151">
        <f>SUM(EJ122:EJ125)</f>
        <v>0</v>
      </c>
      <c r="EK120" s="155">
        <f t="shared" si="648"/>
        <v>25.714000000000013</v>
      </c>
      <c r="EL120" s="155">
        <f t="shared" si="649"/>
        <v>27.177000000000021</v>
      </c>
      <c r="EM120" s="148">
        <f t="shared" si="1155"/>
        <v>123.15300000000001</v>
      </c>
      <c r="EN120" s="149">
        <f>SUM(EN122:EN125)</f>
        <v>123.15300000000001</v>
      </c>
      <c r="EO120" s="150">
        <f>SUM(EO122:EO125)</f>
        <v>97.77</v>
      </c>
      <c r="EP120" s="151">
        <f>SUM(EP122:EP125)</f>
        <v>0</v>
      </c>
      <c r="EQ120" s="148">
        <f t="shared" si="1156"/>
        <v>30.073</v>
      </c>
      <c r="ER120" s="149">
        <f>SUM(ER122:ER125)</f>
        <v>30.073</v>
      </c>
      <c r="ES120" s="150">
        <f>SUM(ES122:ES125)</f>
        <v>27.47</v>
      </c>
      <c r="ET120" s="151">
        <f>SUM(ET122:ET125)</f>
        <v>0</v>
      </c>
    </row>
    <row r="121" spans="1:150" ht="17.399999999999999" customHeight="1" x14ac:dyDescent="0.3">
      <c r="A121" s="139"/>
      <c r="B121" s="6" t="s">
        <v>2</v>
      </c>
      <c r="C121" s="51"/>
      <c r="D121" s="94"/>
      <c r="E121" s="105"/>
      <c r="F121" s="106"/>
      <c r="G121" s="107"/>
      <c r="H121" s="108"/>
      <c r="I121" s="105"/>
      <c r="J121" s="106"/>
      <c r="K121" s="107"/>
      <c r="L121" s="108"/>
      <c r="M121" s="105"/>
      <c r="N121" s="106"/>
      <c r="O121" s="107"/>
      <c r="P121" s="108"/>
      <c r="Q121" s="105"/>
      <c r="R121" s="106"/>
      <c r="S121" s="107"/>
      <c r="T121" s="108"/>
      <c r="U121" s="105"/>
      <c r="V121" s="106"/>
      <c r="W121" s="107"/>
      <c r="X121" s="108"/>
      <c r="Y121" s="105"/>
      <c r="Z121" s="106"/>
      <c r="AA121" s="107"/>
      <c r="AB121" s="108"/>
      <c r="AC121" s="105"/>
      <c r="AD121" s="106"/>
      <c r="AE121" s="107"/>
      <c r="AF121" s="108"/>
      <c r="AG121" s="105"/>
      <c r="AH121" s="106"/>
      <c r="AI121" s="107"/>
      <c r="AJ121" s="108"/>
      <c r="AK121" s="105"/>
      <c r="AL121" s="106"/>
      <c r="AM121" s="107"/>
      <c r="AN121" s="108"/>
      <c r="AO121" s="105"/>
      <c r="AP121" s="106"/>
      <c r="AQ121" s="107"/>
      <c r="AR121" s="108"/>
      <c r="AS121" s="105"/>
      <c r="AT121" s="106"/>
      <c r="AU121" s="107"/>
      <c r="AV121" s="108"/>
      <c r="AW121" s="105"/>
      <c r="AX121" s="106"/>
      <c r="AY121" s="107"/>
      <c r="AZ121" s="108"/>
      <c r="BA121" s="105"/>
      <c r="BB121" s="106"/>
      <c r="BC121" s="107"/>
      <c r="BD121" s="108"/>
      <c r="BE121" s="105"/>
      <c r="BF121" s="106"/>
      <c r="BG121" s="107"/>
      <c r="BH121" s="108"/>
      <c r="BI121" s="105"/>
      <c r="BJ121" s="106"/>
      <c r="BK121" s="107"/>
      <c r="BL121" s="108"/>
      <c r="BM121" s="105"/>
      <c r="BN121" s="106"/>
      <c r="BO121" s="107"/>
      <c r="BP121" s="108"/>
      <c r="BQ121" s="105"/>
      <c r="BR121" s="106"/>
      <c r="BS121" s="107"/>
      <c r="BT121" s="108"/>
      <c r="BU121" s="105"/>
      <c r="BV121" s="106"/>
      <c r="BW121" s="107"/>
      <c r="BX121" s="108"/>
      <c r="BY121" s="164"/>
      <c r="BZ121" s="147"/>
      <c r="CA121" s="161"/>
      <c r="CB121" s="162"/>
      <c r="CC121" s="164"/>
      <c r="CD121" s="147"/>
      <c r="CE121" s="161"/>
      <c r="CF121" s="162"/>
      <c r="CG121" s="105"/>
      <c r="CH121" s="106"/>
      <c r="CI121" s="107"/>
      <c r="CJ121" s="108"/>
      <c r="CK121" s="105"/>
      <c r="CL121" s="106"/>
      <c r="CM121" s="107"/>
      <c r="CN121" s="108"/>
      <c r="CO121" s="164"/>
      <c r="CP121" s="147"/>
      <c r="CQ121" s="161"/>
      <c r="CR121" s="162"/>
      <c r="CS121" s="164"/>
      <c r="CT121" s="147"/>
      <c r="CU121" s="161"/>
      <c r="CV121" s="162"/>
      <c r="CW121" s="105"/>
      <c r="CX121" s="106"/>
      <c r="CY121" s="107"/>
      <c r="CZ121" s="108"/>
      <c r="DA121" s="105"/>
      <c r="DB121" s="106"/>
      <c r="DC121" s="107"/>
      <c r="DD121" s="108"/>
      <c r="DE121" s="164"/>
      <c r="DF121" s="147"/>
      <c r="DG121" s="161"/>
      <c r="DH121" s="162"/>
      <c r="DI121" s="164"/>
      <c r="DJ121" s="147"/>
      <c r="DK121" s="161"/>
      <c r="DL121" s="162"/>
      <c r="DM121" s="105"/>
      <c r="DN121" s="106"/>
      <c r="DO121" s="107"/>
      <c r="DP121" s="108"/>
      <c r="DQ121" s="105"/>
      <c r="DR121" s="106"/>
      <c r="DS121" s="107"/>
      <c r="DT121" s="108"/>
      <c r="DU121" s="164"/>
      <c r="DV121" s="147"/>
      <c r="DW121" s="161"/>
      <c r="DX121" s="162"/>
      <c r="DY121" s="164"/>
      <c r="DZ121" s="147"/>
      <c r="EA121" s="161"/>
      <c r="EB121" s="162"/>
      <c r="EC121" s="105"/>
      <c r="ED121" s="106"/>
      <c r="EE121" s="107"/>
      <c r="EF121" s="108"/>
      <c r="EG121" s="105"/>
      <c r="EH121" s="106"/>
      <c r="EI121" s="107"/>
      <c r="EJ121" s="108"/>
      <c r="EK121" s="153">
        <f t="shared" si="648"/>
        <v>0</v>
      </c>
      <c r="EL121" s="153">
        <f t="shared" si="649"/>
        <v>0</v>
      </c>
      <c r="EM121" s="105"/>
      <c r="EN121" s="106"/>
      <c r="EO121" s="107"/>
      <c r="EP121" s="108"/>
      <c r="EQ121" s="105"/>
      <c r="ER121" s="106"/>
      <c r="ES121" s="107"/>
      <c r="ET121" s="108"/>
    </row>
    <row r="122" spans="1:150" ht="17.399999999999999" customHeight="1" x14ac:dyDescent="0.3">
      <c r="A122" s="139" t="s">
        <v>23</v>
      </c>
      <c r="B122" s="37" t="s">
        <v>35</v>
      </c>
      <c r="C122" s="48" t="s">
        <v>77</v>
      </c>
      <c r="D122" s="93" t="s">
        <v>37</v>
      </c>
      <c r="E122" s="105">
        <f t="shared" ref="E122:E126" si="1180">SUM(F122,H122)</f>
        <v>0.3</v>
      </c>
      <c r="F122" s="106">
        <v>0.3</v>
      </c>
      <c r="G122" s="107"/>
      <c r="H122" s="108"/>
      <c r="I122" s="105">
        <f t="shared" ref="I122:I124" si="1181">SUM(J122,L122)</f>
        <v>0</v>
      </c>
      <c r="J122" s="106"/>
      <c r="K122" s="107"/>
      <c r="L122" s="108"/>
      <c r="M122" s="105">
        <f t="shared" ref="M122:M124" si="1182">SUM(N122,P122)</f>
        <v>0</v>
      </c>
      <c r="N122" s="106"/>
      <c r="O122" s="107"/>
      <c r="P122" s="108"/>
      <c r="Q122" s="105">
        <f t="shared" ref="Q122:Q124" si="1183">SUM(R122,T122)</f>
        <v>0</v>
      </c>
      <c r="R122" s="106"/>
      <c r="S122" s="107"/>
      <c r="T122" s="108"/>
      <c r="U122" s="105">
        <f t="shared" ref="U122" si="1184">SUM(V122,X122)</f>
        <v>0.3</v>
      </c>
      <c r="V122" s="106">
        <f t="shared" ref="V122" si="1185">F122+N122</f>
        <v>0.3</v>
      </c>
      <c r="W122" s="107">
        <f t="shared" ref="W122" si="1186">G122+O122</f>
        <v>0</v>
      </c>
      <c r="X122" s="108">
        <f t="shared" ref="X122" si="1187">H122+P122</f>
        <v>0</v>
      </c>
      <c r="Y122" s="105">
        <f t="shared" ref="Y122" si="1188">SUM(Z122,AB122)</f>
        <v>0</v>
      </c>
      <c r="Z122" s="106">
        <f t="shared" ref="Z122" si="1189">J122+R122</f>
        <v>0</v>
      </c>
      <c r="AA122" s="107">
        <f t="shared" ref="AA122" si="1190">K122+S122</f>
        <v>0</v>
      </c>
      <c r="AB122" s="108">
        <f t="shared" ref="AB122" si="1191">L122+T122</f>
        <v>0</v>
      </c>
      <c r="AC122" s="105">
        <f t="shared" ref="AC122:AC124" si="1192">SUM(AD122,AF122)</f>
        <v>0</v>
      </c>
      <c r="AD122" s="106"/>
      <c r="AE122" s="107"/>
      <c r="AF122" s="108"/>
      <c r="AG122" s="105">
        <f t="shared" ref="AG122:AG124" si="1193">SUM(AH122,AJ122)</f>
        <v>0</v>
      </c>
      <c r="AH122" s="106"/>
      <c r="AI122" s="107"/>
      <c r="AJ122" s="108"/>
      <c r="AK122" s="105">
        <f t="shared" ref="AK122:AK124" si="1194">SUM(AL122,AN122)</f>
        <v>0.3</v>
      </c>
      <c r="AL122" s="106">
        <f t="shared" ref="AL122:AL124" si="1195">V122+AD122</f>
        <v>0.3</v>
      </c>
      <c r="AM122" s="107">
        <f t="shared" ref="AM122:AM124" si="1196">W122+AE122</f>
        <v>0</v>
      </c>
      <c r="AN122" s="108">
        <f t="shared" ref="AN122:AN124" si="1197">X122+AF122</f>
        <v>0</v>
      </c>
      <c r="AO122" s="105">
        <f t="shared" ref="AO122:AO124" si="1198">SUM(AP122,AR122)</f>
        <v>0</v>
      </c>
      <c r="AP122" s="106">
        <f t="shared" ref="AP122:AP124" si="1199">Z122+AH122</f>
        <v>0</v>
      </c>
      <c r="AQ122" s="107">
        <f t="shared" ref="AQ122:AQ124" si="1200">AA122+AI122</f>
        <v>0</v>
      </c>
      <c r="AR122" s="108">
        <f t="shared" ref="AR122:AR124" si="1201">AB122+AJ122</f>
        <v>0</v>
      </c>
      <c r="AS122" s="105">
        <f t="shared" ref="AS122:AS124" si="1202">SUM(AT122,AV122)</f>
        <v>0</v>
      </c>
      <c r="AT122" s="106"/>
      <c r="AU122" s="107"/>
      <c r="AV122" s="108"/>
      <c r="AW122" s="105">
        <f t="shared" ref="AW122:AW123" si="1203">SUM(AX122,AZ122)</f>
        <v>0</v>
      </c>
      <c r="AX122" s="106"/>
      <c r="AY122" s="107"/>
      <c r="AZ122" s="108"/>
      <c r="BA122" s="105">
        <f t="shared" ref="BA122:BA124" si="1204">SUM(BB122,BD122)</f>
        <v>0.3</v>
      </c>
      <c r="BB122" s="106">
        <f t="shared" ref="BB122:BB124" si="1205">AL122+AT122</f>
        <v>0.3</v>
      </c>
      <c r="BC122" s="107">
        <f t="shared" ref="BC122:BC124" si="1206">AM122+AU122</f>
        <v>0</v>
      </c>
      <c r="BD122" s="108">
        <f t="shared" ref="BD122:BD124" si="1207">AN122+AV122</f>
        <v>0</v>
      </c>
      <c r="BE122" s="105">
        <f t="shared" ref="BE122:BE124" si="1208">SUM(BF122,BH122)</f>
        <v>0</v>
      </c>
      <c r="BF122" s="106">
        <f t="shared" ref="BF122:BF124" si="1209">AP122+AX122</f>
        <v>0</v>
      </c>
      <c r="BG122" s="107">
        <f t="shared" ref="BG122:BG124" si="1210">AQ122+AY122</f>
        <v>0</v>
      </c>
      <c r="BH122" s="108">
        <f t="shared" ref="BH122:BH124" si="1211">AR122+AZ122</f>
        <v>0</v>
      </c>
      <c r="BI122" s="105">
        <f t="shared" ref="BI122:BI124" si="1212">SUM(BJ122,BL122)</f>
        <v>0</v>
      </c>
      <c r="BJ122" s="106"/>
      <c r="BK122" s="107"/>
      <c r="BL122" s="108"/>
      <c r="BM122" s="105">
        <f t="shared" ref="BM122:BM123" si="1213">SUM(BN122,BP122)</f>
        <v>0</v>
      </c>
      <c r="BN122" s="106"/>
      <c r="BO122" s="107"/>
      <c r="BP122" s="108"/>
      <c r="BQ122" s="105">
        <f t="shared" ref="BQ122:BQ124" si="1214">SUM(BR122,BT122)</f>
        <v>0.3</v>
      </c>
      <c r="BR122" s="106">
        <f t="shared" ref="BR122" si="1215">BB122+BJ122</f>
        <v>0.3</v>
      </c>
      <c r="BS122" s="107">
        <f t="shared" ref="BS122:BS124" si="1216">BC122+BK122</f>
        <v>0</v>
      </c>
      <c r="BT122" s="108">
        <f t="shared" ref="BT122:BT124" si="1217">BD122+BL122</f>
        <v>0</v>
      </c>
      <c r="BU122" s="105">
        <f t="shared" ref="BU122:BU124" si="1218">SUM(BV122,BX122)</f>
        <v>0</v>
      </c>
      <c r="BV122" s="106">
        <f t="shared" ref="BV122:BV124" si="1219">BF122+BN122</f>
        <v>0</v>
      </c>
      <c r="BW122" s="107">
        <f t="shared" ref="BW122:BW124" si="1220">BG122+BO122</f>
        <v>0</v>
      </c>
      <c r="BX122" s="108">
        <f t="shared" ref="BX122:BX124" si="1221">BH122+BP122</f>
        <v>0</v>
      </c>
      <c r="BY122" s="164">
        <f t="shared" ref="BY122:BY124" si="1222">SUM(BZ122,CB122)</f>
        <v>0</v>
      </c>
      <c r="BZ122" s="147"/>
      <c r="CA122" s="161"/>
      <c r="CB122" s="162"/>
      <c r="CC122" s="164">
        <f t="shared" ref="CC122:CC123" si="1223">SUM(CD122,CF122)</f>
        <v>0</v>
      </c>
      <c r="CD122" s="147"/>
      <c r="CE122" s="161"/>
      <c r="CF122" s="162"/>
      <c r="CG122" s="105">
        <f t="shared" ref="CG122:CG124" si="1224">SUM(CH122,CJ122)</f>
        <v>0.3</v>
      </c>
      <c r="CH122" s="106">
        <f t="shared" ref="CH122" si="1225">BR122+BZ122</f>
        <v>0.3</v>
      </c>
      <c r="CI122" s="107">
        <f t="shared" ref="CI122:CI124" si="1226">BS122+CA122</f>
        <v>0</v>
      </c>
      <c r="CJ122" s="108">
        <f t="shared" ref="CJ122:CJ124" si="1227">BT122+CB122</f>
        <v>0</v>
      </c>
      <c r="CK122" s="105">
        <f t="shared" ref="CK122:CK124" si="1228">SUM(CL122,CN122)</f>
        <v>0</v>
      </c>
      <c r="CL122" s="106">
        <f t="shared" ref="CL122:CL124" si="1229">BV122+CD122</f>
        <v>0</v>
      </c>
      <c r="CM122" s="107">
        <f t="shared" ref="CM122:CM124" si="1230">BW122+CE122</f>
        <v>0</v>
      </c>
      <c r="CN122" s="108">
        <f t="shared" ref="CN122:CN124" si="1231">BX122+CF122</f>
        <v>0</v>
      </c>
      <c r="CO122" s="164">
        <f t="shared" ref="CO122:CO124" si="1232">SUM(CP122,CR122)</f>
        <v>0</v>
      </c>
      <c r="CP122" s="147"/>
      <c r="CQ122" s="161"/>
      <c r="CR122" s="162"/>
      <c r="CS122" s="164">
        <f t="shared" ref="CS122:CS123" si="1233">SUM(CT122,CV122)</f>
        <v>0</v>
      </c>
      <c r="CT122" s="147"/>
      <c r="CU122" s="161"/>
      <c r="CV122" s="162"/>
      <c r="CW122" s="105">
        <f t="shared" ref="CW122:CW124" si="1234">SUM(CX122,CZ122)</f>
        <v>0.3</v>
      </c>
      <c r="CX122" s="106">
        <f t="shared" ref="CX122" si="1235">CH122+CP122</f>
        <v>0.3</v>
      </c>
      <c r="CY122" s="107">
        <f t="shared" ref="CY122:CY124" si="1236">CI122+CQ122</f>
        <v>0</v>
      </c>
      <c r="CZ122" s="108">
        <f t="shared" ref="CZ122:CZ124" si="1237">CJ122+CR122</f>
        <v>0</v>
      </c>
      <c r="DA122" s="105">
        <f t="shared" ref="DA122:DA124" si="1238">SUM(DB122,DD122)</f>
        <v>0</v>
      </c>
      <c r="DB122" s="106">
        <f t="shared" ref="DB122:DB124" si="1239">CL122+CT122</f>
        <v>0</v>
      </c>
      <c r="DC122" s="107">
        <f t="shared" ref="DC122:DC124" si="1240">CM122+CU122</f>
        <v>0</v>
      </c>
      <c r="DD122" s="108">
        <f t="shared" ref="DD122:DD124" si="1241">CN122+CV122</f>
        <v>0</v>
      </c>
      <c r="DE122" s="164">
        <f t="shared" ref="DE122:DE124" si="1242">SUM(DF122,DH122)</f>
        <v>0</v>
      </c>
      <c r="DF122" s="147"/>
      <c r="DG122" s="161"/>
      <c r="DH122" s="162"/>
      <c r="DI122" s="164">
        <f t="shared" ref="DI122:DI123" si="1243">SUM(DJ122,DL122)</f>
        <v>0</v>
      </c>
      <c r="DJ122" s="147"/>
      <c r="DK122" s="161"/>
      <c r="DL122" s="162"/>
      <c r="DM122" s="105">
        <f t="shared" ref="DM122:DM124" si="1244">SUM(DN122,DP122)</f>
        <v>0.3</v>
      </c>
      <c r="DN122" s="106">
        <f t="shared" ref="DN122" si="1245">CX122+DF122</f>
        <v>0.3</v>
      </c>
      <c r="DO122" s="107">
        <f t="shared" ref="DO122:DO124" si="1246">CY122+DG122</f>
        <v>0</v>
      </c>
      <c r="DP122" s="108">
        <f t="shared" ref="DP122:DP124" si="1247">CZ122+DH122</f>
        <v>0</v>
      </c>
      <c r="DQ122" s="105">
        <f t="shared" ref="DQ122:DQ124" si="1248">SUM(DR122,DT122)</f>
        <v>0</v>
      </c>
      <c r="DR122" s="106">
        <f t="shared" ref="DR122:DR124" si="1249">DB122+DJ122</f>
        <v>0</v>
      </c>
      <c r="DS122" s="107">
        <f t="shared" ref="DS122:DS124" si="1250">DC122+DK122</f>
        <v>0</v>
      </c>
      <c r="DT122" s="108">
        <f t="shared" ref="DT122:DT124" si="1251">DD122+DL122</f>
        <v>0</v>
      </c>
      <c r="DU122" s="164">
        <f t="shared" ref="DU122:DU124" si="1252">SUM(DV122,DX122)</f>
        <v>0</v>
      </c>
      <c r="DV122" s="147"/>
      <c r="DW122" s="161"/>
      <c r="DX122" s="162"/>
      <c r="DY122" s="164">
        <f t="shared" ref="DY122:DY123" si="1253">SUM(DZ122,EB122)</f>
        <v>0</v>
      </c>
      <c r="DZ122" s="147"/>
      <c r="EA122" s="161"/>
      <c r="EB122" s="162"/>
      <c r="EC122" s="105">
        <f t="shared" ref="EC122:EC124" si="1254">SUM(ED122,EF122)</f>
        <v>0.3</v>
      </c>
      <c r="ED122" s="106">
        <f t="shared" ref="ED122" si="1255">DN122+DV122</f>
        <v>0.3</v>
      </c>
      <c r="EE122" s="107">
        <f t="shared" ref="EE122:EE124" si="1256">DO122+DW122</f>
        <v>0</v>
      </c>
      <c r="EF122" s="108">
        <f t="shared" ref="EF122:EF124" si="1257">DP122+DX122</f>
        <v>0</v>
      </c>
      <c r="EG122" s="105">
        <f t="shared" ref="EG122:EG124" si="1258">SUM(EH122,EJ122)</f>
        <v>0</v>
      </c>
      <c r="EH122" s="106">
        <f t="shared" ref="EH122:EH124" si="1259">DR122+DZ122</f>
        <v>0</v>
      </c>
      <c r="EI122" s="107">
        <f t="shared" ref="EI122:EI124" si="1260">DS122+EA122</f>
        <v>0</v>
      </c>
      <c r="EJ122" s="108">
        <f t="shared" ref="EJ122:EJ124" si="1261">DT122+EB122</f>
        <v>0</v>
      </c>
      <c r="EK122" s="153">
        <f t="shared" si="648"/>
        <v>0</v>
      </c>
      <c r="EL122" s="153">
        <f t="shared" si="649"/>
        <v>0</v>
      </c>
      <c r="EM122" s="105">
        <f t="shared" ref="EM122:EM124" si="1262">SUM(EN122,EP122)</f>
        <v>0.3</v>
      </c>
      <c r="EN122" s="106">
        <v>0.3</v>
      </c>
      <c r="EO122" s="107"/>
      <c r="EP122" s="108"/>
      <c r="EQ122" s="105">
        <f t="shared" ref="EQ122:EQ124" si="1263">SUM(ER122,ET122)</f>
        <v>0</v>
      </c>
      <c r="ER122" s="106"/>
      <c r="ES122" s="107"/>
      <c r="ET122" s="108"/>
    </row>
    <row r="123" spans="1:150" s="4" customFormat="1" ht="21.65" customHeight="1" x14ac:dyDescent="0.25">
      <c r="A123" s="704" t="s">
        <v>26</v>
      </c>
      <c r="B123" s="702" t="s">
        <v>42</v>
      </c>
      <c r="C123" s="48" t="s">
        <v>78</v>
      </c>
      <c r="D123" s="93" t="s">
        <v>37</v>
      </c>
      <c r="E123" s="105">
        <f t="shared" si="1180"/>
        <v>77.72999999999999</v>
      </c>
      <c r="F123" s="106">
        <f>65.17+10.96+0.8+0.8</f>
        <v>77.72999999999999</v>
      </c>
      <c r="G123" s="107">
        <f>60.83+10.8</f>
        <v>71.63</v>
      </c>
      <c r="H123" s="108"/>
      <c r="I123" s="105">
        <f t="shared" si="1181"/>
        <v>0</v>
      </c>
      <c r="J123" s="106"/>
      <c r="K123" s="107"/>
      <c r="L123" s="108"/>
      <c r="M123" s="105">
        <f t="shared" si="1182"/>
        <v>0</v>
      </c>
      <c r="N123" s="106"/>
      <c r="O123" s="107"/>
      <c r="P123" s="108"/>
      <c r="Q123" s="105">
        <f t="shared" si="1183"/>
        <v>0</v>
      </c>
      <c r="R123" s="106"/>
      <c r="S123" s="107"/>
      <c r="T123" s="108"/>
      <c r="U123" s="105">
        <f t="shared" ref="U123:U124" si="1264">SUM(V123,X123)</f>
        <v>77.72999999999999</v>
      </c>
      <c r="V123" s="106">
        <f t="shared" ref="V123:V124" si="1265">F123+N123</f>
        <v>77.72999999999999</v>
      </c>
      <c r="W123" s="107">
        <f t="shared" ref="W123:W124" si="1266">G123+O123</f>
        <v>71.63</v>
      </c>
      <c r="X123" s="108">
        <f t="shared" ref="X123:X124" si="1267">H123+P123</f>
        <v>0</v>
      </c>
      <c r="Y123" s="105">
        <f t="shared" ref="Y123:Y124" si="1268">SUM(Z123,AB123)</f>
        <v>0</v>
      </c>
      <c r="Z123" s="106">
        <f t="shared" ref="Z123:Z124" si="1269">J123+R123</f>
        <v>0</v>
      </c>
      <c r="AA123" s="107">
        <f t="shared" ref="AA123:AA124" si="1270">K123+S123</f>
        <v>0</v>
      </c>
      <c r="AB123" s="108">
        <f t="shared" ref="AB123:AB124" si="1271">L123+T123</f>
        <v>0</v>
      </c>
      <c r="AC123" s="105">
        <f t="shared" si="1192"/>
        <v>0</v>
      </c>
      <c r="AD123" s="106"/>
      <c r="AE123" s="107"/>
      <c r="AF123" s="108"/>
      <c r="AG123" s="105">
        <f t="shared" si="1193"/>
        <v>0</v>
      </c>
      <c r="AH123" s="106"/>
      <c r="AI123" s="107"/>
      <c r="AJ123" s="108"/>
      <c r="AK123" s="105">
        <f t="shared" si="1194"/>
        <v>77.72999999999999</v>
      </c>
      <c r="AL123" s="106">
        <f t="shared" si="1195"/>
        <v>77.72999999999999</v>
      </c>
      <c r="AM123" s="107">
        <f t="shared" si="1196"/>
        <v>71.63</v>
      </c>
      <c r="AN123" s="108">
        <f t="shared" si="1197"/>
        <v>0</v>
      </c>
      <c r="AO123" s="105">
        <f t="shared" si="1198"/>
        <v>0</v>
      </c>
      <c r="AP123" s="106">
        <f t="shared" si="1199"/>
        <v>0</v>
      </c>
      <c r="AQ123" s="107">
        <f t="shared" si="1200"/>
        <v>0</v>
      </c>
      <c r="AR123" s="108">
        <f t="shared" si="1201"/>
        <v>0</v>
      </c>
      <c r="AS123" s="105">
        <f t="shared" si="1202"/>
        <v>-3.6550000000000002</v>
      </c>
      <c r="AT123" s="106">
        <f>2.6-0.35-5.905</f>
        <v>-3.6550000000000002</v>
      </c>
      <c r="AU123" s="107">
        <v>-5.8209999999999997</v>
      </c>
      <c r="AV123" s="108"/>
      <c r="AW123" s="105">
        <f t="shared" si="1203"/>
        <v>0</v>
      </c>
      <c r="AX123" s="106"/>
      <c r="AY123" s="107"/>
      <c r="AZ123" s="108"/>
      <c r="BA123" s="105">
        <f t="shared" si="1204"/>
        <v>74.074999999999989</v>
      </c>
      <c r="BB123" s="106">
        <f>AL123+AT123</f>
        <v>74.074999999999989</v>
      </c>
      <c r="BC123" s="107">
        <f t="shared" si="1206"/>
        <v>65.808999999999997</v>
      </c>
      <c r="BD123" s="108">
        <f t="shared" si="1207"/>
        <v>0</v>
      </c>
      <c r="BE123" s="105">
        <f t="shared" si="1208"/>
        <v>0</v>
      </c>
      <c r="BF123" s="106">
        <f t="shared" si="1209"/>
        <v>0</v>
      </c>
      <c r="BG123" s="107">
        <f t="shared" si="1210"/>
        <v>0</v>
      </c>
      <c r="BH123" s="108">
        <f t="shared" si="1211"/>
        <v>0</v>
      </c>
      <c r="BI123" s="105">
        <f t="shared" si="1212"/>
        <v>0</v>
      </c>
      <c r="BJ123" s="106"/>
      <c r="BK123" s="107"/>
      <c r="BL123" s="108"/>
      <c r="BM123" s="105">
        <f t="shared" si="1213"/>
        <v>0</v>
      </c>
      <c r="BN123" s="106"/>
      <c r="BO123" s="107"/>
      <c r="BP123" s="108"/>
      <c r="BQ123" s="105">
        <f t="shared" si="1214"/>
        <v>74.074999999999989</v>
      </c>
      <c r="BR123" s="106">
        <f>BB123+BJ123</f>
        <v>74.074999999999989</v>
      </c>
      <c r="BS123" s="107">
        <f t="shared" si="1216"/>
        <v>65.808999999999997</v>
      </c>
      <c r="BT123" s="108">
        <f t="shared" si="1217"/>
        <v>0</v>
      </c>
      <c r="BU123" s="105">
        <f t="shared" si="1218"/>
        <v>0</v>
      </c>
      <c r="BV123" s="106">
        <f t="shared" si="1219"/>
        <v>0</v>
      </c>
      <c r="BW123" s="107">
        <f t="shared" si="1220"/>
        <v>0</v>
      </c>
      <c r="BX123" s="108">
        <f t="shared" si="1221"/>
        <v>0</v>
      </c>
      <c r="BY123" s="164">
        <f t="shared" si="1222"/>
        <v>0</v>
      </c>
      <c r="BZ123" s="147"/>
      <c r="CA123" s="161">
        <v>-7.4999999999999997E-2</v>
      </c>
      <c r="CB123" s="162"/>
      <c r="CC123" s="164">
        <f t="shared" si="1223"/>
        <v>0</v>
      </c>
      <c r="CD123" s="147"/>
      <c r="CE123" s="161"/>
      <c r="CF123" s="162"/>
      <c r="CG123" s="105">
        <f t="shared" si="1224"/>
        <v>74.074999999999989</v>
      </c>
      <c r="CH123" s="106">
        <f>BR123+BZ123</f>
        <v>74.074999999999989</v>
      </c>
      <c r="CI123" s="107">
        <f t="shared" si="1226"/>
        <v>65.733999999999995</v>
      </c>
      <c r="CJ123" s="108">
        <f t="shared" si="1227"/>
        <v>0</v>
      </c>
      <c r="CK123" s="105">
        <f t="shared" si="1228"/>
        <v>0</v>
      </c>
      <c r="CL123" s="106">
        <f t="shared" si="1229"/>
        <v>0</v>
      </c>
      <c r="CM123" s="107">
        <f t="shared" si="1230"/>
        <v>0</v>
      </c>
      <c r="CN123" s="108">
        <f t="shared" si="1231"/>
        <v>0</v>
      </c>
      <c r="CO123" s="164">
        <f t="shared" si="1232"/>
        <v>2</v>
      </c>
      <c r="CP123" s="147">
        <v>2</v>
      </c>
      <c r="CQ123" s="161"/>
      <c r="CR123" s="162"/>
      <c r="CS123" s="164">
        <f t="shared" si="1233"/>
        <v>0</v>
      </c>
      <c r="CT123" s="147"/>
      <c r="CU123" s="161"/>
      <c r="CV123" s="162"/>
      <c r="CW123" s="105">
        <f t="shared" si="1234"/>
        <v>76.074999999999989</v>
      </c>
      <c r="CX123" s="106">
        <f>CH123+CP123</f>
        <v>76.074999999999989</v>
      </c>
      <c r="CY123" s="107">
        <f t="shared" si="1236"/>
        <v>65.733999999999995</v>
      </c>
      <c r="CZ123" s="108">
        <f t="shared" si="1237"/>
        <v>0</v>
      </c>
      <c r="DA123" s="105">
        <f t="shared" si="1238"/>
        <v>0</v>
      </c>
      <c r="DB123" s="106">
        <f t="shared" si="1239"/>
        <v>0</v>
      </c>
      <c r="DC123" s="107">
        <f t="shared" si="1240"/>
        <v>0</v>
      </c>
      <c r="DD123" s="108">
        <f t="shared" si="1241"/>
        <v>0</v>
      </c>
      <c r="DE123" s="164">
        <f t="shared" si="1242"/>
        <v>0</v>
      </c>
      <c r="DF123" s="147"/>
      <c r="DG123" s="161"/>
      <c r="DH123" s="162"/>
      <c r="DI123" s="164">
        <f t="shared" si="1243"/>
        <v>0</v>
      </c>
      <c r="DJ123" s="147"/>
      <c r="DK123" s="161"/>
      <c r="DL123" s="162"/>
      <c r="DM123" s="105">
        <f t="shared" si="1244"/>
        <v>76.074999999999989</v>
      </c>
      <c r="DN123" s="106">
        <f>CX123+DF123</f>
        <v>76.074999999999989</v>
      </c>
      <c r="DO123" s="107">
        <f t="shared" si="1246"/>
        <v>65.733999999999995</v>
      </c>
      <c r="DP123" s="108">
        <f t="shared" si="1247"/>
        <v>0</v>
      </c>
      <c r="DQ123" s="105">
        <f t="shared" si="1248"/>
        <v>0</v>
      </c>
      <c r="DR123" s="106">
        <f t="shared" si="1249"/>
        <v>0</v>
      </c>
      <c r="DS123" s="107">
        <f t="shared" si="1250"/>
        <v>0</v>
      </c>
      <c r="DT123" s="108">
        <f t="shared" si="1251"/>
        <v>0</v>
      </c>
      <c r="DU123" s="164">
        <f t="shared" si="1252"/>
        <v>0</v>
      </c>
      <c r="DV123" s="147"/>
      <c r="DW123" s="161">
        <v>-0.45100000000000001</v>
      </c>
      <c r="DX123" s="162"/>
      <c r="DY123" s="164">
        <f t="shared" si="1253"/>
        <v>0</v>
      </c>
      <c r="DZ123" s="147"/>
      <c r="EA123" s="161"/>
      <c r="EB123" s="162"/>
      <c r="EC123" s="105">
        <f t="shared" si="1254"/>
        <v>76.074999999999989</v>
      </c>
      <c r="ED123" s="106">
        <f>DN123+DV123</f>
        <v>76.074999999999989</v>
      </c>
      <c r="EE123" s="107">
        <f t="shared" si="1256"/>
        <v>65.283000000000001</v>
      </c>
      <c r="EF123" s="108">
        <f t="shared" si="1257"/>
        <v>0</v>
      </c>
      <c r="EG123" s="105">
        <f t="shared" si="1258"/>
        <v>0</v>
      </c>
      <c r="EH123" s="106">
        <f t="shared" si="1259"/>
        <v>0</v>
      </c>
      <c r="EI123" s="107">
        <f t="shared" si="1260"/>
        <v>0</v>
      </c>
      <c r="EJ123" s="108">
        <f t="shared" si="1261"/>
        <v>0</v>
      </c>
      <c r="EK123" s="163">
        <f t="shared" si="648"/>
        <v>27.120000000000019</v>
      </c>
      <c r="EL123" s="163">
        <f t="shared" si="649"/>
        <v>28.77500000000002</v>
      </c>
      <c r="EM123" s="105">
        <f t="shared" si="1262"/>
        <v>104.85000000000001</v>
      </c>
      <c r="EN123" s="106">
        <f>ER123+74.98+2</f>
        <v>104.85000000000001</v>
      </c>
      <c r="EO123" s="107">
        <f>ES123+70.45-0.15</f>
        <v>97.77</v>
      </c>
      <c r="EP123" s="108"/>
      <c r="EQ123" s="105">
        <f t="shared" si="1263"/>
        <v>27.87</v>
      </c>
      <c r="ER123" s="106">
        <v>27.87</v>
      </c>
      <c r="ES123" s="107">
        <v>27.47</v>
      </c>
      <c r="ET123" s="108"/>
    </row>
    <row r="124" spans="1:150" s="4" customFormat="1" ht="21.65" customHeight="1" x14ac:dyDescent="0.25">
      <c r="A124" s="716"/>
      <c r="B124" s="703"/>
      <c r="C124" s="48" t="s">
        <v>167</v>
      </c>
      <c r="D124" s="139" t="s">
        <v>52</v>
      </c>
      <c r="E124" s="105">
        <f t="shared" si="1180"/>
        <v>19.408999999999999</v>
      </c>
      <c r="F124" s="106">
        <f>17.5+J124</f>
        <v>19.408999999999999</v>
      </c>
      <c r="G124" s="107"/>
      <c r="H124" s="108"/>
      <c r="I124" s="105">
        <f t="shared" si="1181"/>
        <v>1.909</v>
      </c>
      <c r="J124" s="106">
        <v>1.909</v>
      </c>
      <c r="K124" s="107"/>
      <c r="L124" s="108"/>
      <c r="M124" s="105">
        <f t="shared" si="1182"/>
        <v>0</v>
      </c>
      <c r="N124" s="106"/>
      <c r="O124" s="107">
        <v>0.28399999999999997</v>
      </c>
      <c r="P124" s="108"/>
      <c r="Q124" s="105">
        <f t="shared" si="1183"/>
        <v>0</v>
      </c>
      <c r="R124" s="106"/>
      <c r="S124" s="107"/>
      <c r="T124" s="108"/>
      <c r="U124" s="105">
        <f t="shared" si="1264"/>
        <v>19.408999999999999</v>
      </c>
      <c r="V124" s="106">
        <f t="shared" si="1265"/>
        <v>19.408999999999999</v>
      </c>
      <c r="W124" s="107">
        <f t="shared" si="1266"/>
        <v>0.28399999999999997</v>
      </c>
      <c r="X124" s="108">
        <f t="shared" si="1267"/>
        <v>0</v>
      </c>
      <c r="Y124" s="105">
        <f t="shared" si="1268"/>
        <v>1.909</v>
      </c>
      <c r="Z124" s="106">
        <f t="shared" si="1269"/>
        <v>1.909</v>
      </c>
      <c r="AA124" s="107">
        <f t="shared" si="1270"/>
        <v>0</v>
      </c>
      <c r="AB124" s="108">
        <f t="shared" si="1271"/>
        <v>0</v>
      </c>
      <c r="AC124" s="105">
        <f t="shared" si="1192"/>
        <v>0</v>
      </c>
      <c r="AD124" s="106"/>
      <c r="AE124" s="107"/>
      <c r="AF124" s="108"/>
      <c r="AG124" s="105">
        <f t="shared" si="1193"/>
        <v>0</v>
      </c>
      <c r="AH124" s="106"/>
      <c r="AI124" s="107"/>
      <c r="AJ124" s="108"/>
      <c r="AK124" s="105">
        <f t="shared" si="1194"/>
        <v>19.408999999999999</v>
      </c>
      <c r="AL124" s="106">
        <f t="shared" si="1195"/>
        <v>19.408999999999999</v>
      </c>
      <c r="AM124" s="107">
        <f t="shared" si="1196"/>
        <v>0.28399999999999997</v>
      </c>
      <c r="AN124" s="108">
        <f t="shared" si="1197"/>
        <v>0</v>
      </c>
      <c r="AO124" s="105">
        <f t="shared" si="1198"/>
        <v>1.909</v>
      </c>
      <c r="AP124" s="106">
        <f t="shared" si="1199"/>
        <v>1.909</v>
      </c>
      <c r="AQ124" s="107">
        <f t="shared" si="1200"/>
        <v>0</v>
      </c>
      <c r="AR124" s="108">
        <f t="shared" si="1201"/>
        <v>0</v>
      </c>
      <c r="AS124" s="105">
        <f t="shared" si="1202"/>
        <v>0.192</v>
      </c>
      <c r="AT124" s="106">
        <v>0.192</v>
      </c>
      <c r="AU124" s="107"/>
      <c r="AV124" s="108"/>
      <c r="AW124" s="105">
        <f>SUM(AX124,AZ124)</f>
        <v>0</v>
      </c>
      <c r="AX124" s="106"/>
      <c r="AY124" s="107"/>
      <c r="AZ124" s="108"/>
      <c r="BA124" s="105">
        <f t="shared" si="1204"/>
        <v>19.600999999999999</v>
      </c>
      <c r="BB124" s="106">
        <f t="shared" si="1205"/>
        <v>19.600999999999999</v>
      </c>
      <c r="BC124" s="107">
        <f t="shared" si="1206"/>
        <v>0.28399999999999997</v>
      </c>
      <c r="BD124" s="108">
        <f t="shared" si="1207"/>
        <v>0</v>
      </c>
      <c r="BE124" s="105">
        <f t="shared" si="1208"/>
        <v>1.909</v>
      </c>
      <c r="BF124" s="106">
        <f t="shared" si="1209"/>
        <v>1.909</v>
      </c>
      <c r="BG124" s="107">
        <f t="shared" si="1210"/>
        <v>0</v>
      </c>
      <c r="BH124" s="108">
        <f t="shared" si="1211"/>
        <v>0</v>
      </c>
      <c r="BI124" s="105">
        <f t="shared" si="1212"/>
        <v>0</v>
      </c>
      <c r="BJ124" s="106"/>
      <c r="BK124" s="107"/>
      <c r="BL124" s="108"/>
      <c r="BM124" s="105">
        <f>SUM(BN124,BP124)</f>
        <v>0</v>
      </c>
      <c r="BN124" s="106"/>
      <c r="BO124" s="107"/>
      <c r="BP124" s="108"/>
      <c r="BQ124" s="105">
        <f t="shared" si="1214"/>
        <v>19.600999999999999</v>
      </c>
      <c r="BR124" s="106">
        <f t="shared" ref="BR124" si="1272">BB124+BJ124</f>
        <v>19.600999999999999</v>
      </c>
      <c r="BS124" s="107">
        <f t="shared" si="1216"/>
        <v>0.28399999999999997</v>
      </c>
      <c r="BT124" s="108">
        <f t="shared" si="1217"/>
        <v>0</v>
      </c>
      <c r="BU124" s="105">
        <f t="shared" si="1218"/>
        <v>1.909</v>
      </c>
      <c r="BV124" s="106">
        <f t="shared" si="1219"/>
        <v>1.909</v>
      </c>
      <c r="BW124" s="107">
        <f t="shared" si="1220"/>
        <v>0</v>
      </c>
      <c r="BX124" s="108">
        <f t="shared" si="1221"/>
        <v>0</v>
      </c>
      <c r="BY124" s="164">
        <f t="shared" si="1222"/>
        <v>0</v>
      </c>
      <c r="BZ124" s="147"/>
      <c r="CA124" s="161"/>
      <c r="CB124" s="162"/>
      <c r="CC124" s="164">
        <f>SUM(CD124,CF124)</f>
        <v>0</v>
      </c>
      <c r="CD124" s="147"/>
      <c r="CE124" s="161"/>
      <c r="CF124" s="162"/>
      <c r="CG124" s="105">
        <f t="shared" si="1224"/>
        <v>19.600999999999999</v>
      </c>
      <c r="CH124" s="106">
        <f t="shared" ref="CH124" si="1273">BR124+BZ124</f>
        <v>19.600999999999999</v>
      </c>
      <c r="CI124" s="107">
        <f t="shared" si="1226"/>
        <v>0.28399999999999997</v>
      </c>
      <c r="CJ124" s="108">
        <f t="shared" si="1227"/>
        <v>0</v>
      </c>
      <c r="CK124" s="105">
        <f t="shared" si="1228"/>
        <v>1.909</v>
      </c>
      <c r="CL124" s="106">
        <f t="shared" si="1229"/>
        <v>1.909</v>
      </c>
      <c r="CM124" s="107">
        <f t="shared" si="1230"/>
        <v>0</v>
      </c>
      <c r="CN124" s="108">
        <f t="shared" si="1231"/>
        <v>0</v>
      </c>
      <c r="CO124" s="164">
        <f t="shared" si="1232"/>
        <v>0</v>
      </c>
      <c r="CP124" s="147"/>
      <c r="CQ124" s="161"/>
      <c r="CR124" s="162"/>
      <c r="CS124" s="164">
        <f>SUM(CT124,CV124)</f>
        <v>0</v>
      </c>
      <c r="CT124" s="147"/>
      <c r="CU124" s="161"/>
      <c r="CV124" s="162"/>
      <c r="CW124" s="105">
        <f t="shared" si="1234"/>
        <v>19.600999999999999</v>
      </c>
      <c r="CX124" s="106">
        <f t="shared" ref="CX124" si="1274">CH124+CP124</f>
        <v>19.600999999999999</v>
      </c>
      <c r="CY124" s="107">
        <f t="shared" si="1236"/>
        <v>0.28399999999999997</v>
      </c>
      <c r="CZ124" s="108">
        <f t="shared" si="1237"/>
        <v>0</v>
      </c>
      <c r="DA124" s="105">
        <f t="shared" si="1238"/>
        <v>1.909</v>
      </c>
      <c r="DB124" s="106">
        <f t="shared" si="1239"/>
        <v>1.909</v>
      </c>
      <c r="DC124" s="107">
        <f t="shared" si="1240"/>
        <v>0</v>
      </c>
      <c r="DD124" s="108">
        <f t="shared" si="1241"/>
        <v>0</v>
      </c>
      <c r="DE124" s="164">
        <f t="shared" si="1242"/>
        <v>0</v>
      </c>
      <c r="DF124" s="147"/>
      <c r="DG124" s="161"/>
      <c r="DH124" s="162"/>
      <c r="DI124" s="164">
        <f>SUM(DJ124,DL124)</f>
        <v>0</v>
      </c>
      <c r="DJ124" s="147"/>
      <c r="DK124" s="161"/>
      <c r="DL124" s="162"/>
      <c r="DM124" s="105">
        <f t="shared" si="1244"/>
        <v>19.600999999999999</v>
      </c>
      <c r="DN124" s="106">
        <f t="shared" ref="DN124" si="1275">CX124+DF124</f>
        <v>19.600999999999999</v>
      </c>
      <c r="DO124" s="107">
        <f t="shared" si="1246"/>
        <v>0.28399999999999997</v>
      </c>
      <c r="DP124" s="108">
        <f t="shared" si="1247"/>
        <v>0</v>
      </c>
      <c r="DQ124" s="105">
        <f t="shared" si="1248"/>
        <v>1.909</v>
      </c>
      <c r="DR124" s="106">
        <f t="shared" si="1249"/>
        <v>1.909</v>
      </c>
      <c r="DS124" s="107">
        <f t="shared" si="1250"/>
        <v>0</v>
      </c>
      <c r="DT124" s="108">
        <f t="shared" si="1251"/>
        <v>0</v>
      </c>
      <c r="DU124" s="164">
        <f t="shared" si="1252"/>
        <v>0</v>
      </c>
      <c r="DV124" s="147"/>
      <c r="DW124" s="161"/>
      <c r="DX124" s="162"/>
      <c r="DY124" s="164">
        <f>SUM(DZ124,EB124)</f>
        <v>0</v>
      </c>
      <c r="DZ124" s="147"/>
      <c r="EA124" s="161"/>
      <c r="EB124" s="162"/>
      <c r="EC124" s="105">
        <f t="shared" si="1254"/>
        <v>19.600999999999999</v>
      </c>
      <c r="ED124" s="106">
        <f t="shared" ref="ED124" si="1276">DN124+DV124</f>
        <v>19.600999999999999</v>
      </c>
      <c r="EE124" s="107">
        <f t="shared" si="1256"/>
        <v>0.28399999999999997</v>
      </c>
      <c r="EF124" s="108">
        <f t="shared" si="1257"/>
        <v>0</v>
      </c>
      <c r="EG124" s="105">
        <f t="shared" si="1258"/>
        <v>1.909</v>
      </c>
      <c r="EH124" s="106">
        <f t="shared" si="1259"/>
        <v>1.909</v>
      </c>
      <c r="EI124" s="107">
        <f t="shared" si="1260"/>
        <v>0</v>
      </c>
      <c r="EJ124" s="108">
        <f t="shared" si="1261"/>
        <v>0</v>
      </c>
      <c r="EK124" s="154">
        <f t="shared" si="648"/>
        <v>-1.4059999999999988</v>
      </c>
      <c r="EL124" s="154">
        <f t="shared" si="649"/>
        <v>-1.597999999999999</v>
      </c>
      <c r="EM124" s="105">
        <f t="shared" si="1262"/>
        <v>18.003</v>
      </c>
      <c r="EN124" s="106">
        <f>ER124+15.8</f>
        <v>18.003</v>
      </c>
      <c r="EO124" s="107"/>
      <c r="EP124" s="108"/>
      <c r="EQ124" s="105">
        <f t="shared" si="1263"/>
        <v>2.2029999999999998</v>
      </c>
      <c r="ER124" s="106">
        <v>2.2029999999999998</v>
      </c>
      <c r="ES124" s="107"/>
      <c r="ET124" s="108"/>
    </row>
    <row r="125" spans="1:150" ht="23" hidden="1" customHeight="1" x14ac:dyDescent="0.3">
      <c r="A125" s="54"/>
      <c r="B125" s="55"/>
      <c r="C125" s="48"/>
      <c r="D125" s="93"/>
      <c r="E125" s="105"/>
      <c r="F125" s="106"/>
      <c r="G125" s="107"/>
      <c r="H125" s="108"/>
      <c r="I125" s="105"/>
      <c r="J125" s="106"/>
      <c r="K125" s="107"/>
      <c r="L125" s="108"/>
      <c r="M125" s="105"/>
      <c r="N125" s="106"/>
      <c r="O125" s="107"/>
      <c r="P125" s="108"/>
      <c r="Q125" s="105"/>
      <c r="R125" s="106"/>
      <c r="S125" s="107"/>
      <c r="T125" s="108"/>
      <c r="U125" s="105"/>
      <c r="V125" s="106"/>
      <c r="W125" s="107"/>
      <c r="X125" s="108"/>
      <c r="Y125" s="105"/>
      <c r="Z125" s="106"/>
      <c r="AA125" s="107"/>
      <c r="AB125" s="108"/>
      <c r="AC125" s="105"/>
      <c r="AD125" s="106"/>
      <c r="AE125" s="107"/>
      <c r="AF125" s="108"/>
      <c r="AG125" s="105"/>
      <c r="AH125" s="106"/>
      <c r="AI125" s="107"/>
      <c r="AJ125" s="108"/>
      <c r="AK125" s="105"/>
      <c r="AL125" s="106"/>
      <c r="AM125" s="107"/>
      <c r="AN125" s="108"/>
      <c r="AO125" s="105"/>
      <c r="AP125" s="106"/>
      <c r="AQ125" s="107"/>
      <c r="AR125" s="108"/>
      <c r="AS125" s="105"/>
      <c r="AT125" s="106"/>
      <c r="AU125" s="107"/>
      <c r="AV125" s="108"/>
      <c r="AW125" s="105"/>
      <c r="AX125" s="106"/>
      <c r="AY125" s="107"/>
      <c r="AZ125" s="108"/>
      <c r="BA125" s="105"/>
      <c r="BB125" s="106"/>
      <c r="BC125" s="107"/>
      <c r="BD125" s="108"/>
      <c r="BE125" s="105"/>
      <c r="BF125" s="106"/>
      <c r="BG125" s="107"/>
      <c r="BH125" s="108"/>
      <c r="BI125" s="105"/>
      <c r="BJ125" s="106"/>
      <c r="BK125" s="107"/>
      <c r="BL125" s="108"/>
      <c r="BM125" s="105"/>
      <c r="BN125" s="106"/>
      <c r="BO125" s="107"/>
      <c r="BP125" s="108"/>
      <c r="BQ125" s="105"/>
      <c r="BR125" s="106"/>
      <c r="BS125" s="107"/>
      <c r="BT125" s="108"/>
      <c r="BU125" s="105"/>
      <c r="BV125" s="106"/>
      <c r="BW125" s="107"/>
      <c r="BX125" s="108"/>
      <c r="BY125" s="164"/>
      <c r="BZ125" s="147"/>
      <c r="CA125" s="161"/>
      <c r="CB125" s="162"/>
      <c r="CC125" s="164"/>
      <c r="CD125" s="147"/>
      <c r="CE125" s="161"/>
      <c r="CF125" s="162"/>
      <c r="CG125" s="105"/>
      <c r="CH125" s="106"/>
      <c r="CI125" s="107"/>
      <c r="CJ125" s="108"/>
      <c r="CK125" s="105"/>
      <c r="CL125" s="106"/>
      <c r="CM125" s="107"/>
      <c r="CN125" s="108"/>
      <c r="CO125" s="164"/>
      <c r="CP125" s="147"/>
      <c r="CQ125" s="161"/>
      <c r="CR125" s="162"/>
      <c r="CS125" s="164"/>
      <c r="CT125" s="147"/>
      <c r="CU125" s="161"/>
      <c r="CV125" s="162"/>
      <c r="CW125" s="105"/>
      <c r="CX125" s="106"/>
      <c r="CY125" s="107"/>
      <c r="CZ125" s="108"/>
      <c r="DA125" s="105"/>
      <c r="DB125" s="106"/>
      <c r="DC125" s="107"/>
      <c r="DD125" s="108"/>
      <c r="DE125" s="164"/>
      <c r="DF125" s="147"/>
      <c r="DG125" s="161"/>
      <c r="DH125" s="162"/>
      <c r="DI125" s="164"/>
      <c r="DJ125" s="147"/>
      <c r="DK125" s="161"/>
      <c r="DL125" s="162"/>
      <c r="DM125" s="105"/>
      <c r="DN125" s="106"/>
      <c r="DO125" s="107"/>
      <c r="DP125" s="108"/>
      <c r="DQ125" s="105"/>
      <c r="DR125" s="106"/>
      <c r="DS125" s="107"/>
      <c r="DT125" s="108"/>
      <c r="DU125" s="164"/>
      <c r="DV125" s="147"/>
      <c r="DW125" s="161"/>
      <c r="DX125" s="162"/>
      <c r="DY125" s="164"/>
      <c r="DZ125" s="147"/>
      <c r="EA125" s="161"/>
      <c r="EB125" s="162"/>
      <c r="EC125" s="105"/>
      <c r="ED125" s="106"/>
      <c r="EE125" s="107"/>
      <c r="EF125" s="108"/>
      <c r="EG125" s="105"/>
      <c r="EH125" s="106"/>
      <c r="EI125" s="107"/>
      <c r="EJ125" s="108"/>
      <c r="EK125" s="153">
        <f t="shared" si="648"/>
        <v>0</v>
      </c>
      <c r="EL125" s="153">
        <f t="shared" si="649"/>
        <v>0</v>
      </c>
      <c r="EM125" s="105"/>
      <c r="EN125" s="106"/>
      <c r="EO125" s="107"/>
      <c r="EP125" s="108"/>
      <c r="EQ125" s="105"/>
      <c r="ER125" s="106"/>
      <c r="ES125" s="107"/>
      <c r="ET125" s="108"/>
    </row>
    <row r="126" spans="1:150" ht="25.25" customHeight="1" x14ac:dyDescent="0.3">
      <c r="A126" s="46"/>
      <c r="B126" s="56" t="s">
        <v>151</v>
      </c>
      <c r="C126" s="47" t="s">
        <v>107</v>
      </c>
      <c r="D126" s="93"/>
      <c r="E126" s="148">
        <f t="shared" si="1180"/>
        <v>682.90699999999993</v>
      </c>
      <c r="F126" s="149">
        <f>SUM(F128:F138)</f>
        <v>672.72699999999998</v>
      </c>
      <c r="G126" s="150">
        <f>SUM(G129:G138)</f>
        <v>370.79999999999995</v>
      </c>
      <c r="H126" s="151">
        <f>SUM(H129:H138)</f>
        <v>10.18</v>
      </c>
      <c r="I126" s="148">
        <f t="shared" ref="I126" si="1277">SUM(J126,L126)</f>
        <v>41.936999999999998</v>
      </c>
      <c r="J126" s="149">
        <f>SUM(J128:J138)</f>
        <v>34.256999999999998</v>
      </c>
      <c r="K126" s="150">
        <f>SUM(K129:K138)</f>
        <v>0</v>
      </c>
      <c r="L126" s="151">
        <f>SUM(L129:L138)</f>
        <v>7.68</v>
      </c>
      <c r="M126" s="148">
        <f t="shared" ref="M126" si="1278">SUM(N126,P126)</f>
        <v>0</v>
      </c>
      <c r="N126" s="149">
        <f>SUM(N128:N138)</f>
        <v>0</v>
      </c>
      <c r="O126" s="150">
        <f>SUM(O129:O138)</f>
        <v>0</v>
      </c>
      <c r="P126" s="151">
        <f>SUM(P129:P138)</f>
        <v>0</v>
      </c>
      <c r="Q126" s="148">
        <f t="shared" ref="Q126" si="1279">SUM(R126,T126)</f>
        <v>0</v>
      </c>
      <c r="R126" s="149">
        <f>SUM(R128:R138)</f>
        <v>0</v>
      </c>
      <c r="S126" s="150">
        <f>SUM(S129:S138)</f>
        <v>0</v>
      </c>
      <c r="T126" s="151">
        <f>SUM(T129:T138)</f>
        <v>0</v>
      </c>
      <c r="U126" s="148">
        <f t="shared" ref="U126" si="1280">SUM(V126,X126)</f>
        <v>682.90699999999993</v>
      </c>
      <c r="V126" s="149">
        <f>SUM(V128:V138)</f>
        <v>672.72699999999998</v>
      </c>
      <c r="W126" s="150">
        <f>SUM(W129:W138)</f>
        <v>370.79999999999995</v>
      </c>
      <c r="X126" s="151">
        <f>SUM(X129:X138)</f>
        <v>10.18</v>
      </c>
      <c r="Y126" s="148">
        <f t="shared" ref="Y126" si="1281">SUM(Z126,AB126)</f>
        <v>41.936999999999998</v>
      </c>
      <c r="Z126" s="149">
        <f>SUM(Z128:Z138)</f>
        <v>34.256999999999998</v>
      </c>
      <c r="AA126" s="150">
        <f>SUM(AA129:AA138)</f>
        <v>0</v>
      </c>
      <c r="AB126" s="151">
        <f>SUM(AB129:AB138)</f>
        <v>7.68</v>
      </c>
      <c r="AC126" s="148">
        <f t="shared" ref="AC126" si="1282">SUM(AD126,AF126)</f>
        <v>5</v>
      </c>
      <c r="AD126" s="149">
        <f>SUM(AD128:AD138)</f>
        <v>5</v>
      </c>
      <c r="AE126" s="150">
        <f>SUM(AE129:AE138)</f>
        <v>0</v>
      </c>
      <c r="AF126" s="151">
        <f>SUM(AF129:AF138)</f>
        <v>0</v>
      </c>
      <c r="AG126" s="148">
        <f t="shared" ref="AG126" si="1283">SUM(AH126,AJ126)</f>
        <v>0</v>
      </c>
      <c r="AH126" s="149">
        <f>SUM(AH128:AH138)</f>
        <v>0</v>
      </c>
      <c r="AI126" s="150">
        <f>SUM(AI129:AI138)</f>
        <v>0</v>
      </c>
      <c r="AJ126" s="151">
        <f>SUM(AJ129:AJ138)</f>
        <v>0</v>
      </c>
      <c r="AK126" s="148">
        <f t="shared" ref="AK126" si="1284">SUM(AL126,AN126)</f>
        <v>687.90699999999993</v>
      </c>
      <c r="AL126" s="149">
        <f>SUM(AL128:AL138)</f>
        <v>677.72699999999998</v>
      </c>
      <c r="AM126" s="150">
        <f>SUM(AM129:AM138)</f>
        <v>370.79999999999995</v>
      </c>
      <c r="AN126" s="151">
        <f>SUM(AN129:AN138)</f>
        <v>10.18</v>
      </c>
      <c r="AO126" s="148">
        <f t="shared" ref="AO126" si="1285">SUM(AP126,AR126)</f>
        <v>41.936999999999998</v>
      </c>
      <c r="AP126" s="149">
        <f>SUM(AP128:AP138)</f>
        <v>34.256999999999998</v>
      </c>
      <c r="AQ126" s="150">
        <f>SUM(AQ129:AQ138)</f>
        <v>0</v>
      </c>
      <c r="AR126" s="151">
        <f>SUM(AR129:AR138)</f>
        <v>7.68</v>
      </c>
      <c r="AS126" s="148">
        <f t="shared" ref="AS126" si="1286">SUM(AT126,AV126)</f>
        <v>6.7759999999999998</v>
      </c>
      <c r="AT126" s="149">
        <f>SUM(AT128:AT138)</f>
        <v>6.7759999999999998</v>
      </c>
      <c r="AU126" s="150">
        <f>SUM(AU129:AU138)</f>
        <v>-12.602</v>
      </c>
      <c r="AV126" s="151">
        <f>SUM(AV129:AV138)</f>
        <v>0</v>
      </c>
      <c r="AW126" s="148">
        <f t="shared" ref="AW126" si="1287">SUM(AX126,AZ126)</f>
        <v>0</v>
      </c>
      <c r="AX126" s="149">
        <f>SUM(AX128:AX138)</f>
        <v>0</v>
      </c>
      <c r="AY126" s="150">
        <f>SUM(AY129:AY138)</f>
        <v>0</v>
      </c>
      <c r="AZ126" s="151">
        <f>SUM(AZ129:AZ138)</f>
        <v>0</v>
      </c>
      <c r="BA126" s="148">
        <f t="shared" ref="BA126" si="1288">SUM(BB126,BD126)</f>
        <v>694.68299999999999</v>
      </c>
      <c r="BB126" s="149">
        <f>SUM(BB128:BB138)</f>
        <v>684.50300000000004</v>
      </c>
      <c r="BC126" s="150">
        <f>SUM(BC129:BC138)</f>
        <v>358.19799999999998</v>
      </c>
      <c r="BD126" s="151">
        <f>SUM(BD129:BD138)</f>
        <v>10.18</v>
      </c>
      <c r="BE126" s="148">
        <f t="shared" ref="BE126" si="1289">SUM(BF126,BH126)</f>
        <v>41.936999999999998</v>
      </c>
      <c r="BF126" s="149">
        <f>SUM(BF128:BF138)</f>
        <v>34.256999999999998</v>
      </c>
      <c r="BG126" s="150">
        <f>SUM(BG129:BG138)</f>
        <v>0</v>
      </c>
      <c r="BH126" s="151">
        <f>SUM(BH129:BH138)</f>
        <v>7.68</v>
      </c>
      <c r="BI126" s="148">
        <f t="shared" ref="BI126" si="1290">SUM(BJ126,BL126)</f>
        <v>0</v>
      </c>
      <c r="BJ126" s="149">
        <f>SUM(BJ128:BJ138)</f>
        <v>0</v>
      </c>
      <c r="BK126" s="150">
        <f>SUM(BK129:BK138)</f>
        <v>0</v>
      </c>
      <c r="BL126" s="151">
        <f>SUM(BL129:BL138)</f>
        <v>0</v>
      </c>
      <c r="BM126" s="148">
        <f t="shared" ref="BM126" si="1291">SUM(BN126,BP126)</f>
        <v>0</v>
      </c>
      <c r="BN126" s="149">
        <f>SUM(BN128:BN138)</f>
        <v>0</v>
      </c>
      <c r="BO126" s="150">
        <f>SUM(BO129:BO138)</f>
        <v>0</v>
      </c>
      <c r="BP126" s="151">
        <f>SUM(BP129:BP138)</f>
        <v>0</v>
      </c>
      <c r="BQ126" s="148">
        <f t="shared" ref="BQ126" si="1292">SUM(BR126,BT126)</f>
        <v>694.68299999999999</v>
      </c>
      <c r="BR126" s="149">
        <f>SUM(BR128:BR138)</f>
        <v>684.50300000000004</v>
      </c>
      <c r="BS126" s="150">
        <f>SUM(BS129:BS138)</f>
        <v>358.19799999999998</v>
      </c>
      <c r="BT126" s="151">
        <f>SUM(BT129:BT138)</f>
        <v>10.18</v>
      </c>
      <c r="BU126" s="148">
        <f t="shared" ref="BU126" si="1293">SUM(BV126,BX126)</f>
        <v>41.936999999999998</v>
      </c>
      <c r="BV126" s="149">
        <f>SUM(BV128:BV138)</f>
        <v>34.256999999999998</v>
      </c>
      <c r="BW126" s="150">
        <f>SUM(BW129:BW138)</f>
        <v>0</v>
      </c>
      <c r="BX126" s="151">
        <f>SUM(BX129:BX138)</f>
        <v>7.68</v>
      </c>
      <c r="BY126" s="175">
        <f t="shared" ref="BY126" si="1294">SUM(BZ126,CB126)</f>
        <v>10</v>
      </c>
      <c r="BZ126" s="176">
        <f>SUM(BZ128:BZ138)</f>
        <v>0</v>
      </c>
      <c r="CA126" s="177">
        <f>SUM(CA129:CA138)</f>
        <v>0</v>
      </c>
      <c r="CB126" s="178">
        <f>SUM(CB129:CB138)</f>
        <v>10</v>
      </c>
      <c r="CC126" s="175">
        <f t="shared" ref="CC126" si="1295">SUM(CD126,CF126)</f>
        <v>0</v>
      </c>
      <c r="CD126" s="176">
        <f>SUM(CD128:CD138)</f>
        <v>0</v>
      </c>
      <c r="CE126" s="177">
        <f>SUM(CE129:CE138)</f>
        <v>0</v>
      </c>
      <c r="CF126" s="178">
        <f>SUM(CF129:CF138)</f>
        <v>0</v>
      </c>
      <c r="CG126" s="148">
        <f t="shared" ref="CG126" si="1296">SUM(CH126,CJ126)</f>
        <v>704.68299999999999</v>
      </c>
      <c r="CH126" s="149">
        <f>SUM(CH128:CH138)</f>
        <v>684.50300000000004</v>
      </c>
      <c r="CI126" s="150">
        <f>SUM(CI129:CI138)</f>
        <v>358.19799999999998</v>
      </c>
      <c r="CJ126" s="151">
        <f>SUM(CJ129:CJ138)</f>
        <v>20.18</v>
      </c>
      <c r="CK126" s="148">
        <f t="shared" ref="CK126" si="1297">SUM(CL126,CN126)</f>
        <v>41.936999999999998</v>
      </c>
      <c r="CL126" s="149">
        <f>SUM(CL128:CL138)</f>
        <v>34.256999999999998</v>
      </c>
      <c r="CM126" s="150">
        <f>SUM(CM129:CM138)</f>
        <v>0</v>
      </c>
      <c r="CN126" s="151">
        <f>SUM(CN129:CN138)</f>
        <v>7.68</v>
      </c>
      <c r="CO126" s="175">
        <f t="shared" ref="CO126" si="1298">SUM(CP126,CR126)</f>
        <v>0</v>
      </c>
      <c r="CP126" s="176">
        <f>SUM(CP128:CP138)</f>
        <v>0</v>
      </c>
      <c r="CQ126" s="177">
        <f>SUM(CQ129:CQ138)</f>
        <v>5.4640000000000004</v>
      </c>
      <c r="CR126" s="178">
        <f>SUM(CR129:CR138)</f>
        <v>0</v>
      </c>
      <c r="CS126" s="175">
        <f t="shared" ref="CS126" si="1299">SUM(CT126,CV126)</f>
        <v>0</v>
      </c>
      <c r="CT126" s="176">
        <f>SUM(CT128:CT138)</f>
        <v>0</v>
      </c>
      <c r="CU126" s="177">
        <f>SUM(CU129:CU138)</f>
        <v>0</v>
      </c>
      <c r="CV126" s="178">
        <f>SUM(CV129:CV138)</f>
        <v>0</v>
      </c>
      <c r="CW126" s="148">
        <f t="shared" ref="CW126" si="1300">SUM(CX126,CZ126)</f>
        <v>704.68299999999999</v>
      </c>
      <c r="CX126" s="149">
        <f>SUM(CX128:CX138)</f>
        <v>684.50300000000004</v>
      </c>
      <c r="CY126" s="150">
        <f>SUM(CY129:CY138)</f>
        <v>363.66199999999998</v>
      </c>
      <c r="CZ126" s="151">
        <f>SUM(CZ129:CZ138)</f>
        <v>20.18</v>
      </c>
      <c r="DA126" s="148">
        <f t="shared" ref="DA126" si="1301">SUM(DB126,DD126)</f>
        <v>41.936999999999998</v>
      </c>
      <c r="DB126" s="149">
        <f>SUM(DB128:DB138)</f>
        <v>34.256999999999998</v>
      </c>
      <c r="DC126" s="150">
        <f>SUM(DC129:DC138)</f>
        <v>0</v>
      </c>
      <c r="DD126" s="151">
        <f>SUM(DD129:DD138)</f>
        <v>7.68</v>
      </c>
      <c r="DE126" s="175">
        <f t="shared" ref="DE126" si="1302">SUM(DF126,DH126)</f>
        <v>6.91</v>
      </c>
      <c r="DF126" s="176">
        <f>SUM(DF128:DF138)</f>
        <v>6.91</v>
      </c>
      <c r="DG126" s="177">
        <f>SUM(DG129:DG138)</f>
        <v>0</v>
      </c>
      <c r="DH126" s="178">
        <f>SUM(DH129:DH138)</f>
        <v>0</v>
      </c>
      <c r="DI126" s="175">
        <f t="shared" ref="DI126" si="1303">SUM(DJ126,DL126)</f>
        <v>0</v>
      </c>
      <c r="DJ126" s="176">
        <f>SUM(DJ128:DJ138)</f>
        <v>0</v>
      </c>
      <c r="DK126" s="177">
        <f>SUM(DK129:DK138)</f>
        <v>0</v>
      </c>
      <c r="DL126" s="178">
        <f>SUM(DL129:DL138)</f>
        <v>0</v>
      </c>
      <c r="DM126" s="148">
        <f t="shared" ref="DM126" si="1304">SUM(DN126,DP126)</f>
        <v>711.59299999999996</v>
      </c>
      <c r="DN126" s="149">
        <f>SUM(DN128:DN138)</f>
        <v>691.41300000000001</v>
      </c>
      <c r="DO126" s="150">
        <f>SUM(DO129:DO138)</f>
        <v>363.66199999999998</v>
      </c>
      <c r="DP126" s="151">
        <f>SUM(DP129:DP138)</f>
        <v>20.18</v>
      </c>
      <c r="DQ126" s="148">
        <f t="shared" ref="DQ126" si="1305">SUM(DR126,DT126)</f>
        <v>41.936999999999998</v>
      </c>
      <c r="DR126" s="149">
        <f>SUM(DR128:DR138)</f>
        <v>34.256999999999998</v>
      </c>
      <c r="DS126" s="150">
        <f>SUM(DS129:DS138)</f>
        <v>0</v>
      </c>
      <c r="DT126" s="151">
        <f>SUM(DT129:DT138)</f>
        <v>7.68</v>
      </c>
      <c r="DU126" s="175">
        <f t="shared" ref="DU126" si="1306">SUM(DV126,DX126)</f>
        <v>19.600000000000001</v>
      </c>
      <c r="DV126" s="176">
        <f>SUM(DV128:DV138)</f>
        <v>14.6</v>
      </c>
      <c r="DW126" s="177">
        <f>SUM(DW129:DW138)</f>
        <v>-0.13700000000000001</v>
      </c>
      <c r="DX126" s="178">
        <f>SUM(DX129:DX138)</f>
        <v>5</v>
      </c>
      <c r="DY126" s="175">
        <f t="shared" ref="DY126" si="1307">SUM(DZ126,EB126)</f>
        <v>0</v>
      </c>
      <c r="DZ126" s="176">
        <f>SUM(DZ128:DZ138)</f>
        <v>0</v>
      </c>
      <c r="EA126" s="177">
        <f>SUM(EA129:EA138)</f>
        <v>0</v>
      </c>
      <c r="EB126" s="178">
        <f>SUM(EB129:EB138)</f>
        <v>0</v>
      </c>
      <c r="EC126" s="148">
        <f t="shared" ref="EC126" si="1308">SUM(ED126,EF126)</f>
        <v>731.19299999999987</v>
      </c>
      <c r="ED126" s="149">
        <f>SUM(ED128:ED138)</f>
        <v>706.01299999999992</v>
      </c>
      <c r="EE126" s="150">
        <f>SUM(EE129:EE138)</f>
        <v>363.52499999999998</v>
      </c>
      <c r="EF126" s="151">
        <f>SUM(EF129:EF138)</f>
        <v>25.18</v>
      </c>
      <c r="EG126" s="148">
        <f t="shared" ref="EG126" si="1309">SUM(EH126,EJ126)</f>
        <v>41.936999999999998</v>
      </c>
      <c r="EH126" s="149">
        <f>SUM(EH128:EH138)</f>
        <v>34.256999999999998</v>
      </c>
      <c r="EI126" s="150">
        <f>SUM(EI129:EI138)</f>
        <v>0</v>
      </c>
      <c r="EJ126" s="151">
        <f>SUM(EJ129:EJ138)</f>
        <v>7.68</v>
      </c>
      <c r="EK126" s="155">
        <f t="shared" si="648"/>
        <v>64.52699999999993</v>
      </c>
      <c r="EL126" s="155">
        <f t="shared" si="649"/>
        <v>16.240999999999985</v>
      </c>
      <c r="EM126" s="83">
        <f>SUM(EN126,EP126)</f>
        <v>747.43399999999986</v>
      </c>
      <c r="EN126" s="84">
        <f>SUM(EN128:EN139)</f>
        <v>747.43399999999986</v>
      </c>
      <c r="EO126" s="85">
        <f>SUM(EO129:EO138)</f>
        <v>434.43699999999995</v>
      </c>
      <c r="EP126" s="151">
        <f>SUM(EP129:EP138)</f>
        <v>0</v>
      </c>
      <c r="EQ126" s="148">
        <f>SUM(ER126,ET126)</f>
        <v>48.393999999999998</v>
      </c>
      <c r="ER126" s="149">
        <f>SUM(ER128:ER139)</f>
        <v>48.393999999999998</v>
      </c>
      <c r="ES126" s="150">
        <f>SUM(ES129:ES138)</f>
        <v>16.116999999999997</v>
      </c>
      <c r="ET126" s="151">
        <f>SUM(ET129:ET138)</f>
        <v>0</v>
      </c>
    </row>
    <row r="127" spans="1:150" ht="17.399999999999999" customHeight="1" x14ac:dyDescent="0.3">
      <c r="A127" s="50"/>
      <c r="B127" s="6" t="s">
        <v>2</v>
      </c>
      <c r="C127" s="51"/>
      <c r="D127" s="94"/>
      <c r="E127" s="105"/>
      <c r="F127" s="106"/>
      <c r="G127" s="107"/>
      <c r="H127" s="108"/>
      <c r="I127" s="105"/>
      <c r="J127" s="106"/>
      <c r="K127" s="107"/>
      <c r="L127" s="108"/>
      <c r="M127" s="105"/>
      <c r="N127" s="106"/>
      <c r="O127" s="107"/>
      <c r="P127" s="108"/>
      <c r="Q127" s="105"/>
      <c r="R127" s="106"/>
      <c r="S127" s="107"/>
      <c r="T127" s="108"/>
      <c r="U127" s="105"/>
      <c r="V127" s="106"/>
      <c r="W127" s="107"/>
      <c r="X127" s="108"/>
      <c r="Y127" s="105"/>
      <c r="Z127" s="106"/>
      <c r="AA127" s="107"/>
      <c r="AB127" s="108"/>
      <c r="AC127" s="105"/>
      <c r="AD127" s="106"/>
      <c r="AE127" s="107"/>
      <c r="AF127" s="108"/>
      <c r="AG127" s="105"/>
      <c r="AH127" s="106"/>
      <c r="AI127" s="107"/>
      <c r="AJ127" s="108"/>
      <c r="AK127" s="105"/>
      <c r="AL127" s="106"/>
      <c r="AM127" s="107"/>
      <c r="AN127" s="108"/>
      <c r="AO127" s="105"/>
      <c r="AP127" s="106"/>
      <c r="AQ127" s="107"/>
      <c r="AR127" s="108"/>
      <c r="AS127" s="105"/>
      <c r="AT127" s="106"/>
      <c r="AU127" s="107"/>
      <c r="AV127" s="108"/>
      <c r="AW127" s="105"/>
      <c r="AX127" s="106"/>
      <c r="AY127" s="107"/>
      <c r="AZ127" s="108"/>
      <c r="BA127" s="105"/>
      <c r="BB127" s="106"/>
      <c r="BC127" s="107"/>
      <c r="BD127" s="108"/>
      <c r="BE127" s="105"/>
      <c r="BF127" s="106"/>
      <c r="BG127" s="107"/>
      <c r="BH127" s="108"/>
      <c r="BI127" s="105"/>
      <c r="BJ127" s="106"/>
      <c r="BK127" s="107"/>
      <c r="BL127" s="108"/>
      <c r="BM127" s="105"/>
      <c r="BN127" s="106"/>
      <c r="BO127" s="107"/>
      <c r="BP127" s="108"/>
      <c r="BQ127" s="105"/>
      <c r="BR127" s="106"/>
      <c r="BS127" s="107"/>
      <c r="BT127" s="108"/>
      <c r="BU127" s="105"/>
      <c r="BV127" s="106"/>
      <c r="BW127" s="107"/>
      <c r="BX127" s="108"/>
      <c r="BY127" s="164"/>
      <c r="BZ127" s="147"/>
      <c r="CA127" s="161"/>
      <c r="CB127" s="162"/>
      <c r="CC127" s="164"/>
      <c r="CD127" s="147"/>
      <c r="CE127" s="161"/>
      <c r="CF127" s="162"/>
      <c r="CG127" s="105"/>
      <c r="CH127" s="106"/>
      <c r="CI127" s="107"/>
      <c r="CJ127" s="108"/>
      <c r="CK127" s="105"/>
      <c r="CL127" s="106"/>
      <c r="CM127" s="107"/>
      <c r="CN127" s="108"/>
      <c r="CO127" s="164"/>
      <c r="CP127" s="147"/>
      <c r="CQ127" s="161"/>
      <c r="CR127" s="162"/>
      <c r="CS127" s="164"/>
      <c r="CT127" s="147"/>
      <c r="CU127" s="161"/>
      <c r="CV127" s="162"/>
      <c r="CW127" s="105"/>
      <c r="CX127" s="106"/>
      <c r="CY127" s="107"/>
      <c r="CZ127" s="108"/>
      <c r="DA127" s="105"/>
      <c r="DB127" s="106"/>
      <c r="DC127" s="107"/>
      <c r="DD127" s="108"/>
      <c r="DE127" s="164"/>
      <c r="DF127" s="147"/>
      <c r="DG127" s="161"/>
      <c r="DH127" s="162"/>
      <c r="DI127" s="164"/>
      <c r="DJ127" s="147"/>
      <c r="DK127" s="161"/>
      <c r="DL127" s="162"/>
      <c r="DM127" s="105"/>
      <c r="DN127" s="106"/>
      <c r="DO127" s="107"/>
      <c r="DP127" s="108"/>
      <c r="DQ127" s="105"/>
      <c r="DR127" s="106"/>
      <c r="DS127" s="107"/>
      <c r="DT127" s="108"/>
      <c r="DU127" s="164"/>
      <c r="DV127" s="147"/>
      <c r="DW127" s="161"/>
      <c r="DX127" s="162"/>
      <c r="DY127" s="164"/>
      <c r="DZ127" s="147"/>
      <c r="EA127" s="161"/>
      <c r="EB127" s="162"/>
      <c r="EC127" s="105"/>
      <c r="ED127" s="106"/>
      <c r="EE127" s="107"/>
      <c r="EF127" s="108"/>
      <c r="EG127" s="105"/>
      <c r="EH127" s="106"/>
      <c r="EI127" s="107"/>
      <c r="EJ127" s="108"/>
      <c r="EK127" s="153">
        <f t="shared" si="648"/>
        <v>0</v>
      </c>
      <c r="EL127" s="153">
        <f t="shared" si="649"/>
        <v>0</v>
      </c>
      <c r="EM127" s="77"/>
      <c r="EN127" s="78"/>
      <c r="EO127" s="79"/>
      <c r="EP127" s="108"/>
      <c r="EQ127" s="105"/>
      <c r="ER127" s="106"/>
      <c r="ES127" s="107"/>
      <c r="ET127" s="108"/>
    </row>
    <row r="128" spans="1:150" ht="17.399999999999999" hidden="1" customHeight="1" x14ac:dyDescent="0.3">
      <c r="A128" s="138" t="s">
        <v>23</v>
      </c>
      <c r="B128" s="37" t="s">
        <v>35</v>
      </c>
      <c r="C128" s="48" t="s">
        <v>79</v>
      </c>
      <c r="D128" s="95" t="s">
        <v>37</v>
      </c>
      <c r="E128" s="105">
        <f t="shared" ref="E128:E140" si="1310">SUM(F128,H128)</f>
        <v>0</v>
      </c>
      <c r="F128" s="106"/>
      <c r="G128" s="107"/>
      <c r="H128" s="108"/>
      <c r="I128" s="105">
        <f t="shared" ref="I128:I140" si="1311">SUM(J128,L128)</f>
        <v>0</v>
      </c>
      <c r="J128" s="106"/>
      <c r="K128" s="107"/>
      <c r="L128" s="108"/>
      <c r="M128" s="105">
        <f t="shared" ref="M128:M140" si="1312">SUM(N128,P128)</f>
        <v>0</v>
      </c>
      <c r="N128" s="106"/>
      <c r="O128" s="107"/>
      <c r="P128" s="108"/>
      <c r="Q128" s="105">
        <f t="shared" ref="Q128:Q140" si="1313">SUM(R128,T128)</f>
        <v>0</v>
      </c>
      <c r="R128" s="106"/>
      <c r="S128" s="107"/>
      <c r="T128" s="108"/>
      <c r="U128" s="105">
        <f t="shared" ref="U128:U140" si="1314">SUM(V128,X128)</f>
        <v>0</v>
      </c>
      <c r="V128" s="106"/>
      <c r="W128" s="107"/>
      <c r="X128" s="108"/>
      <c r="Y128" s="105">
        <f t="shared" ref="Y128:Y140" si="1315">SUM(Z128,AB128)</f>
        <v>0</v>
      </c>
      <c r="Z128" s="106"/>
      <c r="AA128" s="107"/>
      <c r="AB128" s="108"/>
      <c r="AC128" s="105">
        <f t="shared" ref="AC128:AC140" si="1316">SUM(AD128,AF128)</f>
        <v>0</v>
      </c>
      <c r="AD128" s="106"/>
      <c r="AE128" s="107"/>
      <c r="AF128" s="108"/>
      <c r="AG128" s="105">
        <f t="shared" ref="AG128:AG140" si="1317">SUM(AH128,AJ128)</f>
        <v>0</v>
      </c>
      <c r="AH128" s="106"/>
      <c r="AI128" s="107"/>
      <c r="AJ128" s="108"/>
      <c r="AK128" s="105">
        <f t="shared" ref="AK128:AK140" si="1318">SUM(AL128,AN128)</f>
        <v>0</v>
      </c>
      <c r="AL128" s="106"/>
      <c r="AM128" s="107"/>
      <c r="AN128" s="108"/>
      <c r="AO128" s="105">
        <f t="shared" ref="AO128:AO140" si="1319">SUM(AP128,AR128)</f>
        <v>0</v>
      </c>
      <c r="AP128" s="106"/>
      <c r="AQ128" s="107"/>
      <c r="AR128" s="108"/>
      <c r="AS128" s="105">
        <f t="shared" ref="AS128:AS140" si="1320">SUM(AT128,AV128)</f>
        <v>0</v>
      </c>
      <c r="AT128" s="106"/>
      <c r="AU128" s="107"/>
      <c r="AV128" s="108"/>
      <c r="AW128" s="105">
        <f t="shared" ref="AW128:AW140" si="1321">SUM(AX128,AZ128)</f>
        <v>0</v>
      </c>
      <c r="AX128" s="106"/>
      <c r="AY128" s="107"/>
      <c r="AZ128" s="108"/>
      <c r="BA128" s="105">
        <f t="shared" ref="BA128:BA140" si="1322">SUM(BB128,BD128)</f>
        <v>0</v>
      </c>
      <c r="BB128" s="106"/>
      <c r="BC128" s="107"/>
      <c r="BD128" s="108"/>
      <c r="BE128" s="105">
        <f t="shared" ref="BE128:BE140" si="1323">SUM(BF128,BH128)</f>
        <v>0</v>
      </c>
      <c r="BF128" s="106"/>
      <c r="BG128" s="107"/>
      <c r="BH128" s="108"/>
      <c r="BI128" s="105">
        <f t="shared" ref="BI128:BI140" si="1324">SUM(BJ128,BL128)</f>
        <v>0</v>
      </c>
      <c r="BJ128" s="106"/>
      <c r="BK128" s="107"/>
      <c r="BL128" s="108"/>
      <c r="BM128" s="105">
        <f t="shared" ref="BM128:BM140" si="1325">SUM(BN128,BP128)</f>
        <v>0</v>
      </c>
      <c r="BN128" s="106"/>
      <c r="BO128" s="107"/>
      <c r="BP128" s="108"/>
      <c r="BQ128" s="105">
        <f t="shared" ref="BQ128:BQ140" si="1326">SUM(BR128,BT128)</f>
        <v>0</v>
      </c>
      <c r="BR128" s="106"/>
      <c r="BS128" s="107"/>
      <c r="BT128" s="108"/>
      <c r="BU128" s="105">
        <f t="shared" ref="BU128:BU140" si="1327">SUM(BV128,BX128)</f>
        <v>0</v>
      </c>
      <c r="BV128" s="106"/>
      <c r="BW128" s="107"/>
      <c r="BX128" s="108"/>
      <c r="BY128" s="164">
        <f t="shared" ref="BY128:BY140" si="1328">SUM(BZ128,CB128)</f>
        <v>0</v>
      </c>
      <c r="BZ128" s="147"/>
      <c r="CA128" s="161"/>
      <c r="CB128" s="162"/>
      <c r="CC128" s="164">
        <f t="shared" ref="CC128:CC140" si="1329">SUM(CD128,CF128)</f>
        <v>0</v>
      </c>
      <c r="CD128" s="147"/>
      <c r="CE128" s="161"/>
      <c r="CF128" s="162"/>
      <c r="CG128" s="105">
        <f t="shared" ref="CG128:CG140" si="1330">SUM(CH128,CJ128)</f>
        <v>0</v>
      </c>
      <c r="CH128" s="106"/>
      <c r="CI128" s="107"/>
      <c r="CJ128" s="108"/>
      <c r="CK128" s="105">
        <f t="shared" ref="CK128:CK140" si="1331">SUM(CL128,CN128)</f>
        <v>0</v>
      </c>
      <c r="CL128" s="106"/>
      <c r="CM128" s="107"/>
      <c r="CN128" s="108"/>
      <c r="CO128" s="164">
        <f t="shared" ref="CO128:CO140" si="1332">SUM(CP128,CR128)</f>
        <v>0</v>
      </c>
      <c r="CP128" s="147"/>
      <c r="CQ128" s="161"/>
      <c r="CR128" s="162"/>
      <c r="CS128" s="164">
        <f t="shared" ref="CS128:CS140" si="1333">SUM(CT128,CV128)</f>
        <v>0</v>
      </c>
      <c r="CT128" s="147"/>
      <c r="CU128" s="161"/>
      <c r="CV128" s="162"/>
      <c r="CW128" s="105">
        <f t="shared" ref="CW128:CW140" si="1334">SUM(CX128,CZ128)</f>
        <v>0</v>
      </c>
      <c r="CX128" s="106"/>
      <c r="CY128" s="107"/>
      <c r="CZ128" s="108"/>
      <c r="DA128" s="105">
        <f t="shared" ref="DA128:DA140" si="1335">SUM(DB128,DD128)</f>
        <v>0</v>
      </c>
      <c r="DB128" s="106"/>
      <c r="DC128" s="107"/>
      <c r="DD128" s="108"/>
      <c r="DE128" s="164">
        <f t="shared" ref="DE128:DE140" si="1336">SUM(DF128,DH128)</f>
        <v>0</v>
      </c>
      <c r="DF128" s="147"/>
      <c r="DG128" s="161"/>
      <c r="DH128" s="162"/>
      <c r="DI128" s="164">
        <f t="shared" ref="DI128:DI140" si="1337">SUM(DJ128,DL128)</f>
        <v>0</v>
      </c>
      <c r="DJ128" s="147"/>
      <c r="DK128" s="161"/>
      <c r="DL128" s="162"/>
      <c r="DM128" s="105">
        <f t="shared" ref="DM128:DM140" si="1338">SUM(DN128,DP128)</f>
        <v>0</v>
      </c>
      <c r="DN128" s="106"/>
      <c r="DO128" s="107"/>
      <c r="DP128" s="108"/>
      <c r="DQ128" s="105">
        <f t="shared" ref="DQ128:DQ140" si="1339">SUM(DR128,DT128)</f>
        <v>0</v>
      </c>
      <c r="DR128" s="106"/>
      <c r="DS128" s="107"/>
      <c r="DT128" s="108"/>
      <c r="DU128" s="164">
        <f t="shared" ref="DU128:DU140" si="1340">SUM(DV128,DX128)</f>
        <v>0</v>
      </c>
      <c r="DV128" s="147"/>
      <c r="DW128" s="161"/>
      <c r="DX128" s="162"/>
      <c r="DY128" s="164">
        <f t="shared" ref="DY128:DY140" si="1341">SUM(DZ128,EB128)</f>
        <v>0</v>
      </c>
      <c r="DZ128" s="147"/>
      <c r="EA128" s="161"/>
      <c r="EB128" s="162"/>
      <c r="EC128" s="105">
        <f t="shared" ref="EC128:EC140" si="1342">SUM(ED128,EF128)</f>
        <v>0</v>
      </c>
      <c r="ED128" s="106"/>
      <c r="EE128" s="107"/>
      <c r="EF128" s="108"/>
      <c r="EG128" s="105">
        <f t="shared" ref="EG128:EG140" si="1343">SUM(EH128,EJ128)</f>
        <v>0</v>
      </c>
      <c r="EH128" s="106"/>
      <c r="EI128" s="107"/>
      <c r="EJ128" s="108"/>
      <c r="EK128" s="153">
        <f t="shared" si="648"/>
        <v>0</v>
      </c>
      <c r="EL128" s="153">
        <f t="shared" si="649"/>
        <v>0</v>
      </c>
      <c r="EM128" s="77">
        <f t="shared" ref="EM128:EM139" si="1344">SUM(EN128,EP128)</f>
        <v>0</v>
      </c>
      <c r="EN128" s="78"/>
      <c r="EO128" s="79"/>
      <c r="EP128" s="108"/>
      <c r="EQ128" s="105">
        <f t="shared" ref="EQ128:EQ140" si="1345">SUM(ER128,ET128)</f>
        <v>0</v>
      </c>
      <c r="ER128" s="106"/>
      <c r="ES128" s="107"/>
      <c r="ET128" s="108"/>
    </row>
    <row r="129" spans="1:150" s="4" customFormat="1" ht="21.65" customHeight="1" x14ac:dyDescent="0.25">
      <c r="A129" s="42" t="s">
        <v>26</v>
      </c>
      <c r="B129" s="103" t="s">
        <v>42</v>
      </c>
      <c r="C129" s="48" t="s">
        <v>79</v>
      </c>
      <c r="D129" s="93" t="s">
        <v>37</v>
      </c>
      <c r="E129" s="105">
        <f t="shared" si="1310"/>
        <v>336.61</v>
      </c>
      <c r="F129" s="106">
        <v>336.61</v>
      </c>
      <c r="G129" s="107">
        <f>264.64-0.8</f>
        <v>263.83999999999997</v>
      </c>
      <c r="H129" s="108"/>
      <c r="I129" s="105">
        <f t="shared" si="1311"/>
        <v>0</v>
      </c>
      <c r="J129" s="106"/>
      <c r="K129" s="107"/>
      <c r="L129" s="108"/>
      <c r="M129" s="105">
        <f t="shared" si="1312"/>
        <v>0</v>
      </c>
      <c r="N129" s="106"/>
      <c r="O129" s="107"/>
      <c r="P129" s="108"/>
      <c r="Q129" s="105">
        <f t="shared" si="1313"/>
        <v>0</v>
      </c>
      <c r="R129" s="106"/>
      <c r="S129" s="107"/>
      <c r="T129" s="108"/>
      <c r="U129" s="105">
        <f t="shared" si="1314"/>
        <v>336.61</v>
      </c>
      <c r="V129" s="106">
        <f t="shared" ref="V129" si="1346">F129+N129</f>
        <v>336.61</v>
      </c>
      <c r="W129" s="107">
        <f t="shared" ref="W129" si="1347">G129+O129</f>
        <v>263.83999999999997</v>
      </c>
      <c r="X129" s="108">
        <f t="shared" ref="X129" si="1348">H129+P129</f>
        <v>0</v>
      </c>
      <c r="Y129" s="105">
        <f t="shared" si="1315"/>
        <v>0</v>
      </c>
      <c r="Z129" s="106">
        <f t="shared" ref="Z129" si="1349">J129+R129</f>
        <v>0</v>
      </c>
      <c r="AA129" s="107">
        <f t="shared" ref="AA129" si="1350">K129+S129</f>
        <v>0</v>
      </c>
      <c r="AB129" s="108">
        <f t="shared" ref="AB129" si="1351">L129+T129</f>
        <v>0</v>
      </c>
      <c r="AC129" s="105">
        <f t="shared" si="1316"/>
        <v>0</v>
      </c>
      <c r="AD129" s="106"/>
      <c r="AE129" s="107"/>
      <c r="AF129" s="108"/>
      <c r="AG129" s="105">
        <f t="shared" si="1317"/>
        <v>0</v>
      </c>
      <c r="AH129" s="106"/>
      <c r="AI129" s="107"/>
      <c r="AJ129" s="108"/>
      <c r="AK129" s="105">
        <f t="shared" si="1318"/>
        <v>336.61</v>
      </c>
      <c r="AL129" s="106">
        <f t="shared" ref="AL129:AL138" si="1352">V129+AD129</f>
        <v>336.61</v>
      </c>
      <c r="AM129" s="107">
        <f t="shared" ref="AM129:AM138" si="1353">W129+AE129</f>
        <v>263.83999999999997</v>
      </c>
      <c r="AN129" s="108">
        <f t="shared" ref="AN129:AN138" si="1354">X129+AF129</f>
        <v>0</v>
      </c>
      <c r="AO129" s="105">
        <f t="shared" si="1319"/>
        <v>0</v>
      </c>
      <c r="AP129" s="106">
        <f t="shared" ref="AP129:AP138" si="1355">Z129+AH129</f>
        <v>0</v>
      </c>
      <c r="AQ129" s="107">
        <f t="shared" ref="AQ129:AQ138" si="1356">AA129+AI129</f>
        <v>0</v>
      </c>
      <c r="AR129" s="108">
        <f t="shared" ref="AR129:AR138" si="1357">AB129+AJ129</f>
        <v>0</v>
      </c>
      <c r="AS129" s="105">
        <f t="shared" si="1320"/>
        <v>0</v>
      </c>
      <c r="AT129" s="106"/>
      <c r="AU129" s="107">
        <v>-12.602</v>
      </c>
      <c r="AV129" s="108"/>
      <c r="AW129" s="105">
        <f t="shared" si="1321"/>
        <v>0</v>
      </c>
      <c r="AX129" s="106"/>
      <c r="AY129" s="107"/>
      <c r="AZ129" s="108"/>
      <c r="BA129" s="105">
        <f t="shared" si="1322"/>
        <v>336.61</v>
      </c>
      <c r="BB129" s="106">
        <f t="shared" ref="BB129:BB138" si="1358">AL129+AT129</f>
        <v>336.61</v>
      </c>
      <c r="BC129" s="107">
        <f t="shared" ref="BC129:BC138" si="1359">AM129+AU129</f>
        <v>251.23799999999997</v>
      </c>
      <c r="BD129" s="108">
        <f t="shared" ref="BD129:BD138" si="1360">AN129+AV129</f>
        <v>0</v>
      </c>
      <c r="BE129" s="105">
        <f t="shared" si="1323"/>
        <v>0</v>
      </c>
      <c r="BF129" s="106">
        <f t="shared" ref="BF129:BF138" si="1361">AP129+AX129</f>
        <v>0</v>
      </c>
      <c r="BG129" s="107">
        <f t="shared" ref="BG129:BG138" si="1362">AQ129+AY129</f>
        <v>0</v>
      </c>
      <c r="BH129" s="108">
        <f t="shared" ref="BH129:BH138" si="1363">AR129+AZ129</f>
        <v>0</v>
      </c>
      <c r="BI129" s="105">
        <f t="shared" si="1324"/>
        <v>0</v>
      </c>
      <c r="BJ129" s="106"/>
      <c r="BK129" s="107"/>
      <c r="BL129" s="108"/>
      <c r="BM129" s="105">
        <f t="shared" si="1325"/>
        <v>0</v>
      </c>
      <c r="BN129" s="106"/>
      <c r="BO129" s="107"/>
      <c r="BP129" s="108"/>
      <c r="BQ129" s="105">
        <f t="shared" si="1326"/>
        <v>336.61</v>
      </c>
      <c r="BR129" s="106">
        <f t="shared" ref="BR129:BR138" si="1364">BB129+BJ129</f>
        <v>336.61</v>
      </c>
      <c r="BS129" s="107">
        <f t="shared" ref="BS129:BS138" si="1365">BC129+BK129</f>
        <v>251.23799999999997</v>
      </c>
      <c r="BT129" s="108">
        <f t="shared" ref="BT129:BT138" si="1366">BD129+BL129</f>
        <v>0</v>
      </c>
      <c r="BU129" s="105">
        <f t="shared" si="1327"/>
        <v>0</v>
      </c>
      <c r="BV129" s="106">
        <f t="shared" ref="BV129:BV138" si="1367">BF129+BN129</f>
        <v>0</v>
      </c>
      <c r="BW129" s="107">
        <f t="shared" ref="BW129:BW138" si="1368">BG129+BO129</f>
        <v>0</v>
      </c>
      <c r="BX129" s="108">
        <f t="shared" ref="BX129:BX138" si="1369">BH129+BP129</f>
        <v>0</v>
      </c>
      <c r="BY129" s="164">
        <f t="shared" si="1328"/>
        <v>10</v>
      </c>
      <c r="BZ129" s="147"/>
      <c r="CA129" s="161"/>
      <c r="CB129" s="162">
        <v>10</v>
      </c>
      <c r="CC129" s="164">
        <f t="shared" si="1329"/>
        <v>0</v>
      </c>
      <c r="CD129" s="147"/>
      <c r="CE129" s="161"/>
      <c r="CF129" s="162"/>
      <c r="CG129" s="105">
        <f t="shared" si="1330"/>
        <v>346.61</v>
      </c>
      <c r="CH129" s="106">
        <f t="shared" ref="CH129:CH138" si="1370">BR129+BZ129</f>
        <v>336.61</v>
      </c>
      <c r="CI129" s="107">
        <f t="shared" ref="CI129:CI138" si="1371">BS129+CA129</f>
        <v>251.23799999999997</v>
      </c>
      <c r="CJ129" s="108">
        <f t="shared" ref="CJ129:CJ138" si="1372">BT129+CB129</f>
        <v>10</v>
      </c>
      <c r="CK129" s="105">
        <f t="shared" si="1331"/>
        <v>0</v>
      </c>
      <c r="CL129" s="106">
        <f t="shared" ref="CL129:CL138" si="1373">BV129+CD129</f>
        <v>0</v>
      </c>
      <c r="CM129" s="107">
        <f t="shared" ref="CM129:CM138" si="1374">BW129+CE129</f>
        <v>0</v>
      </c>
      <c r="CN129" s="108">
        <f t="shared" ref="CN129:CN138" si="1375">BX129+CF129</f>
        <v>0</v>
      </c>
      <c r="CO129" s="164">
        <f t="shared" si="1332"/>
        <v>0</v>
      </c>
      <c r="CP129" s="147"/>
      <c r="CQ129" s="161"/>
      <c r="CR129" s="162"/>
      <c r="CS129" s="164">
        <f t="shared" si="1333"/>
        <v>0</v>
      </c>
      <c r="CT129" s="147"/>
      <c r="CU129" s="161"/>
      <c r="CV129" s="162"/>
      <c r="CW129" s="105">
        <f t="shared" si="1334"/>
        <v>346.61</v>
      </c>
      <c r="CX129" s="106">
        <f t="shared" ref="CX129:CX138" si="1376">CH129+CP129</f>
        <v>336.61</v>
      </c>
      <c r="CY129" s="107">
        <f t="shared" ref="CY129:CY138" si="1377">CI129+CQ129</f>
        <v>251.23799999999997</v>
      </c>
      <c r="CZ129" s="108">
        <f t="shared" ref="CZ129:CZ138" si="1378">CJ129+CR129</f>
        <v>10</v>
      </c>
      <c r="DA129" s="105">
        <f t="shared" si="1335"/>
        <v>0</v>
      </c>
      <c r="DB129" s="106">
        <f t="shared" ref="DB129:DB138" si="1379">CL129+CT129</f>
        <v>0</v>
      </c>
      <c r="DC129" s="107">
        <f t="shared" ref="DC129:DC138" si="1380">CM129+CU129</f>
        <v>0</v>
      </c>
      <c r="DD129" s="108">
        <f t="shared" ref="DD129:DD138" si="1381">CN129+CV129</f>
        <v>0</v>
      </c>
      <c r="DE129" s="164">
        <f t="shared" si="1336"/>
        <v>0</v>
      </c>
      <c r="DF129" s="147"/>
      <c r="DG129" s="161"/>
      <c r="DH129" s="162"/>
      <c r="DI129" s="164">
        <f t="shared" si="1337"/>
        <v>0</v>
      </c>
      <c r="DJ129" s="147"/>
      <c r="DK129" s="161"/>
      <c r="DL129" s="162"/>
      <c r="DM129" s="105">
        <f t="shared" si="1338"/>
        <v>346.61</v>
      </c>
      <c r="DN129" s="106">
        <f t="shared" ref="DN129:DN138" si="1382">CX129+DF129</f>
        <v>336.61</v>
      </c>
      <c r="DO129" s="107">
        <f t="shared" ref="DO129:DO138" si="1383">CY129+DG129</f>
        <v>251.23799999999997</v>
      </c>
      <c r="DP129" s="108">
        <f t="shared" ref="DP129:DP138" si="1384">CZ129+DH129</f>
        <v>10</v>
      </c>
      <c r="DQ129" s="105">
        <f t="shared" si="1339"/>
        <v>0</v>
      </c>
      <c r="DR129" s="106">
        <f t="shared" ref="DR129:DR138" si="1385">DB129+DJ129</f>
        <v>0</v>
      </c>
      <c r="DS129" s="107">
        <f t="shared" ref="DS129:DS138" si="1386">DC129+DK129</f>
        <v>0</v>
      </c>
      <c r="DT129" s="108">
        <f t="shared" ref="DT129:DT138" si="1387">DD129+DL129</f>
        <v>0</v>
      </c>
      <c r="DU129" s="164">
        <f t="shared" si="1340"/>
        <v>0</v>
      </c>
      <c r="DV129" s="147"/>
      <c r="DW129" s="161"/>
      <c r="DX129" s="162"/>
      <c r="DY129" s="164">
        <f t="shared" si="1341"/>
        <v>0</v>
      </c>
      <c r="DZ129" s="147"/>
      <c r="EA129" s="161"/>
      <c r="EB129" s="162"/>
      <c r="EC129" s="105">
        <f t="shared" si="1342"/>
        <v>346.61</v>
      </c>
      <c r="ED129" s="106">
        <f t="shared" ref="ED129:ED138" si="1388">DN129+DV129</f>
        <v>336.61</v>
      </c>
      <c r="EE129" s="107">
        <f t="shared" ref="EE129:EE138" si="1389">DO129+DW129</f>
        <v>251.23799999999997</v>
      </c>
      <c r="EF129" s="108">
        <f t="shared" ref="EF129:EF138" si="1390">DP129+DX129</f>
        <v>10</v>
      </c>
      <c r="EG129" s="105">
        <f t="shared" si="1343"/>
        <v>0</v>
      </c>
      <c r="EH129" s="106">
        <f t="shared" ref="EH129:EH138" si="1391">DR129+DZ129</f>
        <v>0</v>
      </c>
      <c r="EI129" s="107">
        <f t="shared" ref="EI129:EI138" si="1392">DS129+EA129</f>
        <v>0</v>
      </c>
      <c r="EJ129" s="108">
        <f t="shared" ref="EJ129:EJ138" si="1393">DT129+EB129</f>
        <v>0</v>
      </c>
      <c r="EK129" s="163">
        <f t="shared" si="648"/>
        <v>5.7999999999999545</v>
      </c>
      <c r="EL129" s="154">
        <f t="shared" si="649"/>
        <v>-4.2000000000000455</v>
      </c>
      <c r="EM129" s="77">
        <f t="shared" si="1344"/>
        <v>342.40999999999997</v>
      </c>
      <c r="EN129" s="78">
        <f>350.01-7.6</f>
        <v>342.40999999999997</v>
      </c>
      <c r="EO129" s="79">
        <f>287.35-0.6-7.5</f>
        <v>279.25</v>
      </c>
      <c r="EP129" s="108"/>
      <c r="EQ129" s="105">
        <f t="shared" si="1345"/>
        <v>0</v>
      </c>
      <c r="ER129" s="106"/>
      <c r="ES129" s="107"/>
      <c r="ET129" s="108"/>
    </row>
    <row r="130" spans="1:150" s="4" customFormat="1" ht="24.65" customHeight="1" x14ac:dyDescent="0.25">
      <c r="A130" s="717" t="s">
        <v>32</v>
      </c>
      <c r="B130" s="718" t="s">
        <v>43</v>
      </c>
      <c r="C130" s="48" t="s">
        <v>80</v>
      </c>
      <c r="D130" s="93" t="s">
        <v>37</v>
      </c>
      <c r="E130" s="105">
        <f t="shared" si="1310"/>
        <v>0</v>
      </c>
      <c r="F130" s="106"/>
      <c r="G130" s="107"/>
      <c r="H130" s="108"/>
      <c r="I130" s="105">
        <f t="shared" si="1311"/>
        <v>0</v>
      </c>
      <c r="J130" s="106"/>
      <c r="K130" s="107"/>
      <c r="L130" s="108"/>
      <c r="M130" s="105">
        <f t="shared" si="1312"/>
        <v>0</v>
      </c>
      <c r="N130" s="106"/>
      <c r="O130" s="107"/>
      <c r="P130" s="108"/>
      <c r="Q130" s="105">
        <f t="shared" si="1313"/>
        <v>0</v>
      </c>
      <c r="R130" s="106"/>
      <c r="S130" s="107"/>
      <c r="T130" s="108"/>
      <c r="U130" s="105">
        <f t="shared" ref="U130:U138" si="1394">SUM(V130,X130)</f>
        <v>0</v>
      </c>
      <c r="V130" s="106">
        <f t="shared" ref="V130:V138" si="1395">F130+N130</f>
        <v>0</v>
      </c>
      <c r="W130" s="107">
        <f t="shared" ref="W130:W138" si="1396">G130+O130</f>
        <v>0</v>
      </c>
      <c r="X130" s="108">
        <f t="shared" ref="X130:X138" si="1397">H130+P130</f>
        <v>0</v>
      </c>
      <c r="Y130" s="105">
        <f t="shared" ref="Y130:Y138" si="1398">SUM(Z130,AB130)</f>
        <v>0</v>
      </c>
      <c r="Z130" s="106">
        <f t="shared" ref="Z130:Z138" si="1399">J130+R130</f>
        <v>0</v>
      </c>
      <c r="AA130" s="107">
        <f t="shared" ref="AA130:AA138" si="1400">K130+S130</f>
        <v>0</v>
      </c>
      <c r="AB130" s="108">
        <f t="shared" ref="AB130:AB138" si="1401">L130+T130</f>
        <v>0</v>
      </c>
      <c r="AC130" s="105">
        <f t="shared" si="1316"/>
        <v>0</v>
      </c>
      <c r="AD130" s="106"/>
      <c r="AE130" s="107"/>
      <c r="AF130" s="108"/>
      <c r="AG130" s="105">
        <f t="shared" si="1317"/>
        <v>0</v>
      </c>
      <c r="AH130" s="106"/>
      <c r="AI130" s="107"/>
      <c r="AJ130" s="108"/>
      <c r="AK130" s="105">
        <f t="shared" si="1318"/>
        <v>0</v>
      </c>
      <c r="AL130" s="106">
        <f t="shared" si="1352"/>
        <v>0</v>
      </c>
      <c r="AM130" s="107">
        <f t="shared" si="1353"/>
        <v>0</v>
      </c>
      <c r="AN130" s="108">
        <f t="shared" si="1354"/>
        <v>0</v>
      </c>
      <c r="AO130" s="105">
        <f t="shared" si="1319"/>
        <v>0</v>
      </c>
      <c r="AP130" s="106">
        <f t="shared" si="1355"/>
        <v>0</v>
      </c>
      <c r="AQ130" s="107">
        <f t="shared" si="1356"/>
        <v>0</v>
      </c>
      <c r="AR130" s="108">
        <f t="shared" si="1357"/>
        <v>0</v>
      </c>
      <c r="AS130" s="105">
        <f t="shared" si="1320"/>
        <v>0</v>
      </c>
      <c r="AT130" s="106"/>
      <c r="AU130" s="107"/>
      <c r="AV130" s="108"/>
      <c r="AW130" s="105">
        <f t="shared" si="1321"/>
        <v>0</v>
      </c>
      <c r="AX130" s="106"/>
      <c r="AY130" s="107"/>
      <c r="AZ130" s="108"/>
      <c r="BA130" s="105">
        <f t="shared" si="1322"/>
        <v>0</v>
      </c>
      <c r="BB130" s="106">
        <f t="shared" si="1358"/>
        <v>0</v>
      </c>
      <c r="BC130" s="107">
        <f t="shared" si="1359"/>
        <v>0</v>
      </c>
      <c r="BD130" s="108">
        <f t="shared" si="1360"/>
        <v>0</v>
      </c>
      <c r="BE130" s="105">
        <f t="shared" si="1323"/>
        <v>0</v>
      </c>
      <c r="BF130" s="106">
        <f t="shared" si="1361"/>
        <v>0</v>
      </c>
      <c r="BG130" s="107">
        <f t="shared" si="1362"/>
        <v>0</v>
      </c>
      <c r="BH130" s="108">
        <f t="shared" si="1363"/>
        <v>0</v>
      </c>
      <c r="BI130" s="105">
        <f t="shared" si="1324"/>
        <v>0</v>
      </c>
      <c r="BJ130" s="106"/>
      <c r="BK130" s="107"/>
      <c r="BL130" s="108"/>
      <c r="BM130" s="105">
        <f t="shared" si="1325"/>
        <v>0</v>
      </c>
      <c r="BN130" s="106"/>
      <c r="BO130" s="107"/>
      <c r="BP130" s="108"/>
      <c r="BQ130" s="105">
        <f t="shared" si="1326"/>
        <v>0</v>
      </c>
      <c r="BR130" s="106">
        <f t="shared" si="1364"/>
        <v>0</v>
      </c>
      <c r="BS130" s="107">
        <f t="shared" si="1365"/>
        <v>0</v>
      </c>
      <c r="BT130" s="108">
        <f t="shared" si="1366"/>
        <v>0</v>
      </c>
      <c r="BU130" s="105">
        <f t="shared" si="1327"/>
        <v>0</v>
      </c>
      <c r="BV130" s="106">
        <f t="shared" si="1367"/>
        <v>0</v>
      </c>
      <c r="BW130" s="107">
        <f t="shared" si="1368"/>
        <v>0</v>
      </c>
      <c r="BX130" s="108">
        <f t="shared" si="1369"/>
        <v>0</v>
      </c>
      <c r="BY130" s="164">
        <f t="shared" si="1328"/>
        <v>0</v>
      </c>
      <c r="BZ130" s="147"/>
      <c r="CA130" s="161"/>
      <c r="CB130" s="162"/>
      <c r="CC130" s="164">
        <f t="shared" si="1329"/>
        <v>0</v>
      </c>
      <c r="CD130" s="147"/>
      <c r="CE130" s="161"/>
      <c r="CF130" s="162"/>
      <c r="CG130" s="105">
        <f t="shared" si="1330"/>
        <v>0</v>
      </c>
      <c r="CH130" s="106">
        <f t="shared" si="1370"/>
        <v>0</v>
      </c>
      <c r="CI130" s="107">
        <f t="shared" si="1371"/>
        <v>0</v>
      </c>
      <c r="CJ130" s="108">
        <f t="shared" si="1372"/>
        <v>0</v>
      </c>
      <c r="CK130" s="105">
        <f t="shared" si="1331"/>
        <v>0</v>
      </c>
      <c r="CL130" s="106">
        <f t="shared" si="1373"/>
        <v>0</v>
      </c>
      <c r="CM130" s="107">
        <f t="shared" si="1374"/>
        <v>0</v>
      </c>
      <c r="CN130" s="108">
        <f t="shared" si="1375"/>
        <v>0</v>
      </c>
      <c r="CO130" s="164">
        <f t="shared" si="1332"/>
        <v>14</v>
      </c>
      <c r="CP130" s="147">
        <v>14</v>
      </c>
      <c r="CQ130" s="161"/>
      <c r="CR130" s="162"/>
      <c r="CS130" s="164">
        <f t="shared" si="1333"/>
        <v>0</v>
      </c>
      <c r="CT130" s="147"/>
      <c r="CU130" s="161"/>
      <c r="CV130" s="162"/>
      <c r="CW130" s="105">
        <f t="shared" si="1334"/>
        <v>14</v>
      </c>
      <c r="CX130" s="106">
        <f t="shared" si="1376"/>
        <v>14</v>
      </c>
      <c r="CY130" s="107">
        <f t="shared" si="1377"/>
        <v>0</v>
      </c>
      <c r="CZ130" s="108">
        <f t="shared" si="1378"/>
        <v>0</v>
      </c>
      <c r="DA130" s="105">
        <f t="shared" si="1335"/>
        <v>0</v>
      </c>
      <c r="DB130" s="106">
        <f t="shared" si="1379"/>
        <v>0</v>
      </c>
      <c r="DC130" s="107">
        <f t="shared" si="1380"/>
        <v>0</v>
      </c>
      <c r="DD130" s="108">
        <f t="shared" si="1381"/>
        <v>0</v>
      </c>
      <c r="DE130" s="164">
        <f t="shared" si="1336"/>
        <v>0</v>
      </c>
      <c r="DF130" s="147"/>
      <c r="DG130" s="161"/>
      <c r="DH130" s="162"/>
      <c r="DI130" s="164">
        <f t="shared" si="1337"/>
        <v>0</v>
      </c>
      <c r="DJ130" s="147"/>
      <c r="DK130" s="161"/>
      <c r="DL130" s="162"/>
      <c r="DM130" s="105">
        <f t="shared" si="1338"/>
        <v>14</v>
      </c>
      <c r="DN130" s="106">
        <f t="shared" si="1382"/>
        <v>14</v>
      </c>
      <c r="DO130" s="107">
        <f t="shared" si="1383"/>
        <v>0</v>
      </c>
      <c r="DP130" s="108">
        <f t="shared" si="1384"/>
        <v>0</v>
      </c>
      <c r="DQ130" s="105">
        <f t="shared" si="1339"/>
        <v>0</v>
      </c>
      <c r="DR130" s="106">
        <f t="shared" si="1385"/>
        <v>0</v>
      </c>
      <c r="DS130" s="107">
        <f t="shared" si="1386"/>
        <v>0</v>
      </c>
      <c r="DT130" s="108">
        <f t="shared" si="1387"/>
        <v>0</v>
      </c>
      <c r="DU130" s="164">
        <f t="shared" si="1340"/>
        <v>0</v>
      </c>
      <c r="DV130" s="147"/>
      <c r="DW130" s="161"/>
      <c r="DX130" s="162"/>
      <c r="DY130" s="164">
        <f t="shared" si="1341"/>
        <v>0</v>
      </c>
      <c r="DZ130" s="147"/>
      <c r="EA130" s="161"/>
      <c r="EB130" s="162"/>
      <c r="EC130" s="105">
        <f t="shared" si="1342"/>
        <v>14</v>
      </c>
      <c r="ED130" s="106">
        <f t="shared" si="1388"/>
        <v>14</v>
      </c>
      <c r="EE130" s="107">
        <f t="shared" si="1389"/>
        <v>0</v>
      </c>
      <c r="EF130" s="108">
        <f t="shared" si="1390"/>
        <v>0</v>
      </c>
      <c r="EG130" s="105">
        <f t="shared" si="1343"/>
        <v>0</v>
      </c>
      <c r="EH130" s="106">
        <f t="shared" si="1391"/>
        <v>0</v>
      </c>
      <c r="EI130" s="107">
        <f t="shared" si="1392"/>
        <v>0</v>
      </c>
      <c r="EJ130" s="108">
        <f t="shared" si="1393"/>
        <v>0</v>
      </c>
      <c r="EK130" s="153">
        <f t="shared" si="648"/>
        <v>0</v>
      </c>
      <c r="EL130" s="154">
        <f t="shared" si="649"/>
        <v>-14</v>
      </c>
      <c r="EM130" s="77">
        <f t="shared" si="1344"/>
        <v>0</v>
      </c>
      <c r="EN130" s="78"/>
      <c r="EO130" s="79"/>
      <c r="EP130" s="108"/>
      <c r="EQ130" s="105">
        <f t="shared" si="1345"/>
        <v>0</v>
      </c>
      <c r="ER130" s="106"/>
      <c r="ES130" s="107"/>
      <c r="ET130" s="108"/>
    </row>
    <row r="131" spans="1:150" s="4" customFormat="1" ht="24.65" customHeight="1" x14ac:dyDescent="0.25">
      <c r="A131" s="717"/>
      <c r="B131" s="718"/>
      <c r="C131" s="48" t="s">
        <v>81</v>
      </c>
      <c r="D131" s="139" t="s">
        <v>52</v>
      </c>
      <c r="E131" s="105">
        <f t="shared" si="1310"/>
        <v>65.504999999999995</v>
      </c>
      <c r="F131" s="106">
        <f>4.06+57.74+J131</f>
        <v>63.005000000000003</v>
      </c>
      <c r="G131" s="107">
        <v>4</v>
      </c>
      <c r="H131" s="108">
        <v>2.5</v>
      </c>
      <c r="I131" s="105">
        <f t="shared" si="1311"/>
        <v>1.2050000000000001</v>
      </c>
      <c r="J131" s="106">
        <v>1.2050000000000001</v>
      </c>
      <c r="K131" s="107"/>
      <c r="L131" s="108"/>
      <c r="M131" s="105">
        <f t="shared" si="1312"/>
        <v>0</v>
      </c>
      <c r="N131" s="106"/>
      <c r="O131" s="107"/>
      <c r="P131" s="108"/>
      <c r="Q131" s="105">
        <f t="shared" si="1313"/>
        <v>0</v>
      </c>
      <c r="R131" s="106"/>
      <c r="S131" s="107"/>
      <c r="T131" s="108"/>
      <c r="U131" s="105">
        <f t="shared" si="1394"/>
        <v>65.504999999999995</v>
      </c>
      <c r="V131" s="106">
        <f t="shared" si="1395"/>
        <v>63.005000000000003</v>
      </c>
      <c r="W131" s="107">
        <f t="shared" si="1396"/>
        <v>4</v>
      </c>
      <c r="X131" s="108">
        <f t="shared" si="1397"/>
        <v>2.5</v>
      </c>
      <c r="Y131" s="105">
        <f t="shared" si="1398"/>
        <v>1.2050000000000001</v>
      </c>
      <c r="Z131" s="106">
        <f t="shared" si="1399"/>
        <v>1.2050000000000001</v>
      </c>
      <c r="AA131" s="107">
        <f t="shared" si="1400"/>
        <v>0</v>
      </c>
      <c r="AB131" s="108">
        <f t="shared" si="1401"/>
        <v>0</v>
      </c>
      <c r="AC131" s="105">
        <f t="shared" si="1316"/>
        <v>0</v>
      </c>
      <c r="AD131" s="106"/>
      <c r="AE131" s="107"/>
      <c r="AF131" s="108"/>
      <c r="AG131" s="105">
        <f t="shared" si="1317"/>
        <v>0</v>
      </c>
      <c r="AH131" s="106"/>
      <c r="AI131" s="107"/>
      <c r="AJ131" s="108"/>
      <c r="AK131" s="105">
        <f t="shared" si="1318"/>
        <v>65.504999999999995</v>
      </c>
      <c r="AL131" s="106">
        <f t="shared" si="1352"/>
        <v>63.005000000000003</v>
      </c>
      <c r="AM131" s="107">
        <f t="shared" si="1353"/>
        <v>4</v>
      </c>
      <c r="AN131" s="108">
        <f t="shared" si="1354"/>
        <v>2.5</v>
      </c>
      <c r="AO131" s="105">
        <f t="shared" si="1319"/>
        <v>1.2050000000000001</v>
      </c>
      <c r="AP131" s="106">
        <f t="shared" si="1355"/>
        <v>1.2050000000000001</v>
      </c>
      <c r="AQ131" s="107">
        <f t="shared" si="1356"/>
        <v>0</v>
      </c>
      <c r="AR131" s="108">
        <f t="shared" si="1357"/>
        <v>0</v>
      </c>
      <c r="AS131" s="105">
        <f t="shared" si="1320"/>
        <v>0</v>
      </c>
      <c r="AT131" s="106"/>
      <c r="AU131" s="107"/>
      <c r="AV131" s="108"/>
      <c r="AW131" s="105">
        <f t="shared" si="1321"/>
        <v>0</v>
      </c>
      <c r="AX131" s="106"/>
      <c r="AY131" s="107"/>
      <c r="AZ131" s="108"/>
      <c r="BA131" s="105">
        <f t="shared" si="1322"/>
        <v>65.504999999999995</v>
      </c>
      <c r="BB131" s="106">
        <f t="shared" si="1358"/>
        <v>63.005000000000003</v>
      </c>
      <c r="BC131" s="107">
        <f t="shared" si="1359"/>
        <v>4</v>
      </c>
      <c r="BD131" s="108">
        <f t="shared" si="1360"/>
        <v>2.5</v>
      </c>
      <c r="BE131" s="105">
        <f t="shared" si="1323"/>
        <v>1.2050000000000001</v>
      </c>
      <c r="BF131" s="106">
        <f t="shared" si="1361"/>
        <v>1.2050000000000001</v>
      </c>
      <c r="BG131" s="107">
        <f t="shared" si="1362"/>
        <v>0</v>
      </c>
      <c r="BH131" s="108">
        <f t="shared" si="1363"/>
        <v>0</v>
      </c>
      <c r="BI131" s="105">
        <f t="shared" si="1324"/>
        <v>0</v>
      </c>
      <c r="BJ131" s="106"/>
      <c r="BK131" s="107"/>
      <c r="BL131" s="108"/>
      <c r="BM131" s="105">
        <f t="shared" si="1325"/>
        <v>0</v>
      </c>
      <c r="BN131" s="106"/>
      <c r="BO131" s="107"/>
      <c r="BP131" s="108"/>
      <c r="BQ131" s="105">
        <f t="shared" si="1326"/>
        <v>65.504999999999995</v>
      </c>
      <c r="BR131" s="106">
        <f t="shared" si="1364"/>
        <v>63.005000000000003</v>
      </c>
      <c r="BS131" s="107">
        <f t="shared" si="1365"/>
        <v>4</v>
      </c>
      <c r="BT131" s="108">
        <f t="shared" si="1366"/>
        <v>2.5</v>
      </c>
      <c r="BU131" s="105">
        <f t="shared" si="1327"/>
        <v>1.2050000000000001</v>
      </c>
      <c r="BV131" s="106">
        <f t="shared" si="1367"/>
        <v>1.2050000000000001</v>
      </c>
      <c r="BW131" s="107">
        <f t="shared" si="1368"/>
        <v>0</v>
      </c>
      <c r="BX131" s="108">
        <f t="shared" si="1369"/>
        <v>0</v>
      </c>
      <c r="BY131" s="164">
        <f t="shared" si="1328"/>
        <v>0</v>
      </c>
      <c r="BZ131" s="147"/>
      <c r="CA131" s="161"/>
      <c r="CB131" s="162"/>
      <c r="CC131" s="164">
        <f t="shared" si="1329"/>
        <v>0</v>
      </c>
      <c r="CD131" s="147"/>
      <c r="CE131" s="161"/>
      <c r="CF131" s="162"/>
      <c r="CG131" s="105">
        <f t="shared" si="1330"/>
        <v>65.504999999999995</v>
      </c>
      <c r="CH131" s="106">
        <f t="shared" si="1370"/>
        <v>63.005000000000003</v>
      </c>
      <c r="CI131" s="107">
        <f t="shared" si="1371"/>
        <v>4</v>
      </c>
      <c r="CJ131" s="108">
        <f t="shared" si="1372"/>
        <v>2.5</v>
      </c>
      <c r="CK131" s="105">
        <f t="shared" si="1331"/>
        <v>1.2050000000000001</v>
      </c>
      <c r="CL131" s="106">
        <f t="shared" si="1373"/>
        <v>1.2050000000000001</v>
      </c>
      <c r="CM131" s="107">
        <f t="shared" si="1374"/>
        <v>0</v>
      </c>
      <c r="CN131" s="108">
        <f t="shared" si="1375"/>
        <v>0</v>
      </c>
      <c r="CO131" s="164">
        <f t="shared" si="1332"/>
        <v>-14.1</v>
      </c>
      <c r="CP131" s="147">
        <v>-14.1</v>
      </c>
      <c r="CQ131" s="161"/>
      <c r="CR131" s="162"/>
      <c r="CS131" s="164">
        <f t="shared" si="1333"/>
        <v>0</v>
      </c>
      <c r="CT131" s="147"/>
      <c r="CU131" s="161"/>
      <c r="CV131" s="162"/>
      <c r="CW131" s="105">
        <f t="shared" si="1334"/>
        <v>51.405000000000001</v>
      </c>
      <c r="CX131" s="106">
        <f t="shared" si="1376"/>
        <v>48.905000000000001</v>
      </c>
      <c r="CY131" s="107">
        <f t="shared" si="1377"/>
        <v>4</v>
      </c>
      <c r="CZ131" s="108">
        <f t="shared" si="1378"/>
        <v>2.5</v>
      </c>
      <c r="DA131" s="105">
        <f t="shared" si="1335"/>
        <v>1.2050000000000001</v>
      </c>
      <c r="DB131" s="106">
        <f t="shared" si="1379"/>
        <v>1.2050000000000001</v>
      </c>
      <c r="DC131" s="107">
        <f t="shared" si="1380"/>
        <v>0</v>
      </c>
      <c r="DD131" s="108">
        <f t="shared" si="1381"/>
        <v>0</v>
      </c>
      <c r="DE131" s="164">
        <f t="shared" si="1336"/>
        <v>0</v>
      </c>
      <c r="DF131" s="147"/>
      <c r="DG131" s="161"/>
      <c r="DH131" s="162"/>
      <c r="DI131" s="164">
        <f t="shared" si="1337"/>
        <v>0</v>
      </c>
      <c r="DJ131" s="147"/>
      <c r="DK131" s="161"/>
      <c r="DL131" s="162"/>
      <c r="DM131" s="105">
        <f t="shared" si="1338"/>
        <v>51.405000000000001</v>
      </c>
      <c r="DN131" s="106">
        <f t="shared" si="1382"/>
        <v>48.905000000000001</v>
      </c>
      <c r="DO131" s="107">
        <f t="shared" si="1383"/>
        <v>4</v>
      </c>
      <c r="DP131" s="108">
        <f t="shared" si="1384"/>
        <v>2.5</v>
      </c>
      <c r="DQ131" s="105">
        <f t="shared" si="1339"/>
        <v>1.2050000000000001</v>
      </c>
      <c r="DR131" s="106">
        <f t="shared" si="1385"/>
        <v>1.2050000000000001</v>
      </c>
      <c r="DS131" s="107">
        <f t="shared" si="1386"/>
        <v>0</v>
      </c>
      <c r="DT131" s="108">
        <f t="shared" si="1387"/>
        <v>0</v>
      </c>
      <c r="DU131" s="164">
        <f t="shared" si="1340"/>
        <v>7.6</v>
      </c>
      <c r="DV131" s="147">
        <v>7.6</v>
      </c>
      <c r="DW131" s="161"/>
      <c r="DX131" s="162"/>
      <c r="DY131" s="164">
        <f t="shared" si="1341"/>
        <v>0</v>
      </c>
      <c r="DZ131" s="147"/>
      <c r="EA131" s="161"/>
      <c r="EB131" s="162"/>
      <c r="EC131" s="105">
        <f t="shared" si="1342"/>
        <v>59.005000000000003</v>
      </c>
      <c r="ED131" s="106">
        <f t="shared" si="1388"/>
        <v>56.505000000000003</v>
      </c>
      <c r="EE131" s="107">
        <f t="shared" si="1389"/>
        <v>4</v>
      </c>
      <c r="EF131" s="108">
        <f t="shared" si="1390"/>
        <v>2.5</v>
      </c>
      <c r="EG131" s="105">
        <f t="shared" si="1343"/>
        <v>1.2050000000000001</v>
      </c>
      <c r="EH131" s="106">
        <f t="shared" si="1391"/>
        <v>1.2050000000000001</v>
      </c>
      <c r="EI131" s="107">
        <f t="shared" si="1392"/>
        <v>0</v>
      </c>
      <c r="EJ131" s="108">
        <f t="shared" si="1393"/>
        <v>0</v>
      </c>
      <c r="EK131" s="163">
        <f t="shared" si="648"/>
        <v>15.50200000000001</v>
      </c>
      <c r="EL131" s="163">
        <f t="shared" si="649"/>
        <v>22.002000000000002</v>
      </c>
      <c r="EM131" s="77">
        <f t="shared" si="1344"/>
        <v>81.007000000000005</v>
      </c>
      <c r="EN131" s="78">
        <f>ER131+79.4-11.4</f>
        <v>81.007000000000005</v>
      </c>
      <c r="EO131" s="79">
        <f>ES131+10</f>
        <v>16.259999999999998</v>
      </c>
      <c r="EP131" s="108"/>
      <c r="EQ131" s="105">
        <f t="shared" si="1345"/>
        <v>13.007</v>
      </c>
      <c r="ER131" s="106">
        <f>ES131+6.656+0.091</f>
        <v>13.007</v>
      </c>
      <c r="ES131" s="107">
        <v>6.26</v>
      </c>
      <c r="ET131" s="108"/>
    </row>
    <row r="132" spans="1:150" s="4" customFormat="1" ht="24.65" hidden="1" customHeight="1" x14ac:dyDescent="0.3">
      <c r="A132" s="58" t="s">
        <v>31</v>
      </c>
      <c r="B132" s="55" t="s">
        <v>44</v>
      </c>
      <c r="C132" s="48" t="s">
        <v>168</v>
      </c>
      <c r="D132" s="93" t="s">
        <v>37</v>
      </c>
      <c r="E132" s="105">
        <f t="shared" si="1310"/>
        <v>0</v>
      </c>
      <c r="F132" s="106"/>
      <c r="G132" s="107"/>
      <c r="H132" s="108"/>
      <c r="I132" s="105">
        <f t="shared" si="1311"/>
        <v>0</v>
      </c>
      <c r="J132" s="106"/>
      <c r="K132" s="107"/>
      <c r="L132" s="108"/>
      <c r="M132" s="105">
        <f t="shared" si="1312"/>
        <v>0</v>
      </c>
      <c r="N132" s="106"/>
      <c r="O132" s="107"/>
      <c r="P132" s="108"/>
      <c r="Q132" s="105">
        <f t="shared" si="1313"/>
        <v>0</v>
      </c>
      <c r="R132" s="106"/>
      <c r="S132" s="107"/>
      <c r="T132" s="108"/>
      <c r="U132" s="105">
        <f t="shared" si="1394"/>
        <v>0</v>
      </c>
      <c r="V132" s="106">
        <f t="shared" si="1395"/>
        <v>0</v>
      </c>
      <c r="W132" s="107">
        <f t="shared" si="1396"/>
        <v>0</v>
      </c>
      <c r="X132" s="108">
        <f t="shared" si="1397"/>
        <v>0</v>
      </c>
      <c r="Y132" s="105">
        <f t="shared" si="1398"/>
        <v>0</v>
      </c>
      <c r="Z132" s="106">
        <f t="shared" si="1399"/>
        <v>0</v>
      </c>
      <c r="AA132" s="107">
        <f t="shared" si="1400"/>
        <v>0</v>
      </c>
      <c r="AB132" s="108">
        <f t="shared" si="1401"/>
        <v>0</v>
      </c>
      <c r="AC132" s="105">
        <f t="shared" si="1316"/>
        <v>0</v>
      </c>
      <c r="AD132" s="106"/>
      <c r="AE132" s="107"/>
      <c r="AF132" s="108"/>
      <c r="AG132" s="105">
        <f t="shared" si="1317"/>
        <v>0</v>
      </c>
      <c r="AH132" s="106"/>
      <c r="AI132" s="107"/>
      <c r="AJ132" s="108"/>
      <c r="AK132" s="105">
        <f t="shared" si="1318"/>
        <v>0</v>
      </c>
      <c r="AL132" s="106">
        <f t="shared" si="1352"/>
        <v>0</v>
      </c>
      <c r="AM132" s="107">
        <f t="shared" si="1353"/>
        <v>0</v>
      </c>
      <c r="AN132" s="108">
        <f t="shared" si="1354"/>
        <v>0</v>
      </c>
      <c r="AO132" s="105">
        <f t="shared" si="1319"/>
        <v>0</v>
      </c>
      <c r="AP132" s="106">
        <f t="shared" si="1355"/>
        <v>0</v>
      </c>
      <c r="AQ132" s="107">
        <f t="shared" si="1356"/>
        <v>0</v>
      </c>
      <c r="AR132" s="108">
        <f t="shared" si="1357"/>
        <v>0</v>
      </c>
      <c r="AS132" s="105">
        <f t="shared" si="1320"/>
        <v>0</v>
      </c>
      <c r="AT132" s="106"/>
      <c r="AU132" s="107"/>
      <c r="AV132" s="108"/>
      <c r="AW132" s="105">
        <f t="shared" si="1321"/>
        <v>0</v>
      </c>
      <c r="AX132" s="106"/>
      <c r="AY132" s="107"/>
      <c r="AZ132" s="108"/>
      <c r="BA132" s="105">
        <f t="shared" si="1322"/>
        <v>0</v>
      </c>
      <c r="BB132" s="106">
        <f t="shared" si="1358"/>
        <v>0</v>
      </c>
      <c r="BC132" s="107">
        <f t="shared" si="1359"/>
        <v>0</v>
      </c>
      <c r="BD132" s="108">
        <f t="shared" si="1360"/>
        <v>0</v>
      </c>
      <c r="BE132" s="105">
        <f t="shared" si="1323"/>
        <v>0</v>
      </c>
      <c r="BF132" s="106">
        <f t="shared" si="1361"/>
        <v>0</v>
      </c>
      <c r="BG132" s="107">
        <f t="shared" si="1362"/>
        <v>0</v>
      </c>
      <c r="BH132" s="108">
        <f t="shared" si="1363"/>
        <v>0</v>
      </c>
      <c r="BI132" s="105">
        <f t="shared" si="1324"/>
        <v>0</v>
      </c>
      <c r="BJ132" s="106"/>
      <c r="BK132" s="107"/>
      <c r="BL132" s="108"/>
      <c r="BM132" s="105">
        <f t="shared" si="1325"/>
        <v>0</v>
      </c>
      <c r="BN132" s="106"/>
      <c r="BO132" s="107"/>
      <c r="BP132" s="108"/>
      <c r="BQ132" s="105">
        <f t="shared" si="1326"/>
        <v>0</v>
      </c>
      <c r="BR132" s="106">
        <f t="shared" si="1364"/>
        <v>0</v>
      </c>
      <c r="BS132" s="107">
        <f t="shared" si="1365"/>
        <v>0</v>
      </c>
      <c r="BT132" s="108">
        <f t="shared" si="1366"/>
        <v>0</v>
      </c>
      <c r="BU132" s="105">
        <f t="shared" si="1327"/>
        <v>0</v>
      </c>
      <c r="BV132" s="106">
        <f t="shared" si="1367"/>
        <v>0</v>
      </c>
      <c r="BW132" s="107">
        <f t="shared" si="1368"/>
        <v>0</v>
      </c>
      <c r="BX132" s="108">
        <f t="shared" si="1369"/>
        <v>0</v>
      </c>
      <c r="BY132" s="164">
        <f t="shared" si="1328"/>
        <v>0</v>
      </c>
      <c r="BZ132" s="147"/>
      <c r="CA132" s="161"/>
      <c r="CB132" s="162"/>
      <c r="CC132" s="164">
        <f t="shared" si="1329"/>
        <v>0</v>
      </c>
      <c r="CD132" s="147"/>
      <c r="CE132" s="161"/>
      <c r="CF132" s="162"/>
      <c r="CG132" s="105">
        <f t="shared" si="1330"/>
        <v>0</v>
      </c>
      <c r="CH132" s="106">
        <f t="shared" si="1370"/>
        <v>0</v>
      </c>
      <c r="CI132" s="107">
        <f t="shared" si="1371"/>
        <v>0</v>
      </c>
      <c r="CJ132" s="108">
        <f t="shared" si="1372"/>
        <v>0</v>
      </c>
      <c r="CK132" s="105">
        <f t="shared" si="1331"/>
        <v>0</v>
      </c>
      <c r="CL132" s="106">
        <f t="shared" si="1373"/>
        <v>0</v>
      </c>
      <c r="CM132" s="107">
        <f t="shared" si="1374"/>
        <v>0</v>
      </c>
      <c r="CN132" s="108">
        <f t="shared" si="1375"/>
        <v>0</v>
      </c>
      <c r="CO132" s="164">
        <f t="shared" si="1332"/>
        <v>0</v>
      </c>
      <c r="CP132" s="147"/>
      <c r="CQ132" s="161"/>
      <c r="CR132" s="162"/>
      <c r="CS132" s="164">
        <f t="shared" si="1333"/>
        <v>0</v>
      </c>
      <c r="CT132" s="147"/>
      <c r="CU132" s="161"/>
      <c r="CV132" s="162"/>
      <c r="CW132" s="105">
        <f t="shared" si="1334"/>
        <v>0</v>
      </c>
      <c r="CX132" s="106">
        <f t="shared" si="1376"/>
        <v>0</v>
      </c>
      <c r="CY132" s="107">
        <f t="shared" si="1377"/>
        <v>0</v>
      </c>
      <c r="CZ132" s="108">
        <f t="shared" si="1378"/>
        <v>0</v>
      </c>
      <c r="DA132" s="105">
        <f t="shared" si="1335"/>
        <v>0</v>
      </c>
      <c r="DB132" s="106">
        <f t="shared" si="1379"/>
        <v>0</v>
      </c>
      <c r="DC132" s="107">
        <f t="shared" si="1380"/>
        <v>0</v>
      </c>
      <c r="DD132" s="108">
        <f t="shared" si="1381"/>
        <v>0</v>
      </c>
      <c r="DE132" s="164">
        <f t="shared" si="1336"/>
        <v>0</v>
      </c>
      <c r="DF132" s="147"/>
      <c r="DG132" s="161"/>
      <c r="DH132" s="162"/>
      <c r="DI132" s="164">
        <f t="shared" si="1337"/>
        <v>0</v>
      </c>
      <c r="DJ132" s="147"/>
      <c r="DK132" s="161"/>
      <c r="DL132" s="162"/>
      <c r="DM132" s="105">
        <f t="shared" si="1338"/>
        <v>0</v>
      </c>
      <c r="DN132" s="106">
        <f t="shared" si="1382"/>
        <v>0</v>
      </c>
      <c r="DO132" s="107">
        <f t="shared" si="1383"/>
        <v>0</v>
      </c>
      <c r="DP132" s="108">
        <f t="shared" si="1384"/>
        <v>0</v>
      </c>
      <c r="DQ132" s="105">
        <f t="shared" si="1339"/>
        <v>0</v>
      </c>
      <c r="DR132" s="106">
        <f t="shared" si="1385"/>
        <v>0</v>
      </c>
      <c r="DS132" s="107">
        <f t="shared" si="1386"/>
        <v>0</v>
      </c>
      <c r="DT132" s="108">
        <f t="shared" si="1387"/>
        <v>0</v>
      </c>
      <c r="DU132" s="164">
        <f t="shared" si="1340"/>
        <v>0</v>
      </c>
      <c r="DV132" s="147"/>
      <c r="DW132" s="161"/>
      <c r="DX132" s="162"/>
      <c r="DY132" s="164">
        <f t="shared" si="1341"/>
        <v>0</v>
      </c>
      <c r="DZ132" s="147"/>
      <c r="EA132" s="161"/>
      <c r="EB132" s="162"/>
      <c r="EC132" s="105">
        <f t="shared" si="1342"/>
        <v>0</v>
      </c>
      <c r="ED132" s="106">
        <f t="shared" si="1388"/>
        <v>0</v>
      </c>
      <c r="EE132" s="107">
        <f t="shared" si="1389"/>
        <v>0</v>
      </c>
      <c r="EF132" s="108">
        <f t="shared" si="1390"/>
        <v>0</v>
      </c>
      <c r="EG132" s="105">
        <f t="shared" si="1343"/>
        <v>0</v>
      </c>
      <c r="EH132" s="106">
        <f t="shared" si="1391"/>
        <v>0</v>
      </c>
      <c r="EI132" s="107">
        <f t="shared" si="1392"/>
        <v>0</v>
      </c>
      <c r="EJ132" s="108">
        <f t="shared" si="1393"/>
        <v>0</v>
      </c>
      <c r="EK132" s="153">
        <f t="shared" si="648"/>
        <v>0</v>
      </c>
      <c r="EL132" s="153">
        <f t="shared" si="649"/>
        <v>0</v>
      </c>
      <c r="EM132" s="77">
        <f t="shared" si="1344"/>
        <v>0</v>
      </c>
      <c r="EN132" s="78"/>
      <c r="EO132" s="79"/>
      <c r="EP132" s="108"/>
      <c r="EQ132" s="105">
        <f t="shared" si="1345"/>
        <v>0</v>
      </c>
      <c r="ER132" s="106"/>
      <c r="ES132" s="107"/>
      <c r="ET132" s="108"/>
    </row>
    <row r="133" spans="1:150" s="4" customFormat="1" ht="25.5" hidden="1" customHeight="1" x14ac:dyDescent="0.3">
      <c r="A133" s="58" t="s">
        <v>40</v>
      </c>
      <c r="B133" s="55" t="s">
        <v>116</v>
      </c>
      <c r="C133" s="48" t="s">
        <v>169</v>
      </c>
      <c r="D133" s="93" t="s">
        <v>37</v>
      </c>
      <c r="E133" s="105">
        <f t="shared" si="1310"/>
        <v>0</v>
      </c>
      <c r="F133" s="106"/>
      <c r="G133" s="107"/>
      <c r="H133" s="108"/>
      <c r="I133" s="105">
        <f t="shared" si="1311"/>
        <v>0</v>
      </c>
      <c r="J133" s="106"/>
      <c r="K133" s="107"/>
      <c r="L133" s="108"/>
      <c r="M133" s="105">
        <f t="shared" si="1312"/>
        <v>0</v>
      </c>
      <c r="N133" s="106"/>
      <c r="O133" s="107"/>
      <c r="P133" s="108"/>
      <c r="Q133" s="105">
        <f t="shared" si="1313"/>
        <v>0</v>
      </c>
      <c r="R133" s="106"/>
      <c r="S133" s="107"/>
      <c r="T133" s="108"/>
      <c r="U133" s="105">
        <f t="shared" si="1394"/>
        <v>0</v>
      </c>
      <c r="V133" s="106">
        <f t="shared" si="1395"/>
        <v>0</v>
      </c>
      <c r="W133" s="107">
        <f t="shared" si="1396"/>
        <v>0</v>
      </c>
      <c r="X133" s="108">
        <f t="shared" si="1397"/>
        <v>0</v>
      </c>
      <c r="Y133" s="105">
        <f t="shared" si="1398"/>
        <v>0</v>
      </c>
      <c r="Z133" s="106">
        <f t="shared" si="1399"/>
        <v>0</v>
      </c>
      <c r="AA133" s="107">
        <f t="shared" si="1400"/>
        <v>0</v>
      </c>
      <c r="AB133" s="108">
        <f t="shared" si="1401"/>
        <v>0</v>
      </c>
      <c r="AC133" s="105">
        <f t="shared" si="1316"/>
        <v>0</v>
      </c>
      <c r="AD133" s="106"/>
      <c r="AE133" s="107"/>
      <c r="AF133" s="108"/>
      <c r="AG133" s="105">
        <f t="shared" si="1317"/>
        <v>0</v>
      </c>
      <c r="AH133" s="106"/>
      <c r="AI133" s="107"/>
      <c r="AJ133" s="108"/>
      <c r="AK133" s="105">
        <f t="shared" si="1318"/>
        <v>0</v>
      </c>
      <c r="AL133" s="106">
        <f t="shared" si="1352"/>
        <v>0</v>
      </c>
      <c r="AM133" s="107">
        <f t="shared" si="1353"/>
        <v>0</v>
      </c>
      <c r="AN133" s="108">
        <f t="shared" si="1354"/>
        <v>0</v>
      </c>
      <c r="AO133" s="105">
        <f t="shared" si="1319"/>
        <v>0</v>
      </c>
      <c r="AP133" s="106">
        <f t="shared" si="1355"/>
        <v>0</v>
      </c>
      <c r="AQ133" s="107">
        <f t="shared" si="1356"/>
        <v>0</v>
      </c>
      <c r="AR133" s="108">
        <f t="shared" si="1357"/>
        <v>0</v>
      </c>
      <c r="AS133" s="105">
        <f t="shared" si="1320"/>
        <v>0</v>
      </c>
      <c r="AT133" s="106"/>
      <c r="AU133" s="107"/>
      <c r="AV133" s="108"/>
      <c r="AW133" s="105">
        <f t="shared" si="1321"/>
        <v>0</v>
      </c>
      <c r="AX133" s="106"/>
      <c r="AY133" s="107"/>
      <c r="AZ133" s="108"/>
      <c r="BA133" s="105">
        <f t="shared" si="1322"/>
        <v>0</v>
      </c>
      <c r="BB133" s="106">
        <f t="shared" si="1358"/>
        <v>0</v>
      </c>
      <c r="BC133" s="107">
        <f t="shared" si="1359"/>
        <v>0</v>
      </c>
      <c r="BD133" s="108">
        <f t="shared" si="1360"/>
        <v>0</v>
      </c>
      <c r="BE133" s="105">
        <f t="shared" si="1323"/>
        <v>0</v>
      </c>
      <c r="BF133" s="106">
        <f t="shared" si="1361"/>
        <v>0</v>
      </c>
      <c r="BG133" s="107">
        <f t="shared" si="1362"/>
        <v>0</v>
      </c>
      <c r="BH133" s="108">
        <f t="shared" si="1363"/>
        <v>0</v>
      </c>
      <c r="BI133" s="105">
        <f t="shared" si="1324"/>
        <v>0</v>
      </c>
      <c r="BJ133" s="106"/>
      <c r="BK133" s="107"/>
      <c r="BL133" s="108"/>
      <c r="BM133" s="105">
        <f t="shared" si="1325"/>
        <v>0</v>
      </c>
      <c r="BN133" s="106"/>
      <c r="BO133" s="107"/>
      <c r="BP133" s="108"/>
      <c r="BQ133" s="105">
        <f t="shared" si="1326"/>
        <v>0</v>
      </c>
      <c r="BR133" s="106">
        <f t="shared" si="1364"/>
        <v>0</v>
      </c>
      <c r="BS133" s="107">
        <f t="shared" si="1365"/>
        <v>0</v>
      </c>
      <c r="BT133" s="108">
        <f t="shared" si="1366"/>
        <v>0</v>
      </c>
      <c r="BU133" s="105">
        <f t="shared" si="1327"/>
        <v>0</v>
      </c>
      <c r="BV133" s="106">
        <f t="shared" si="1367"/>
        <v>0</v>
      </c>
      <c r="BW133" s="107">
        <f t="shared" si="1368"/>
        <v>0</v>
      </c>
      <c r="BX133" s="108">
        <f t="shared" si="1369"/>
        <v>0</v>
      </c>
      <c r="BY133" s="164">
        <f t="shared" si="1328"/>
        <v>0</v>
      </c>
      <c r="BZ133" s="147"/>
      <c r="CA133" s="161"/>
      <c r="CB133" s="162"/>
      <c r="CC133" s="164">
        <f t="shared" si="1329"/>
        <v>0</v>
      </c>
      <c r="CD133" s="147"/>
      <c r="CE133" s="161"/>
      <c r="CF133" s="162"/>
      <c r="CG133" s="105">
        <f t="shared" si="1330"/>
        <v>0</v>
      </c>
      <c r="CH133" s="106">
        <f t="shared" si="1370"/>
        <v>0</v>
      </c>
      <c r="CI133" s="107">
        <f t="shared" si="1371"/>
        <v>0</v>
      </c>
      <c r="CJ133" s="108">
        <f t="shared" si="1372"/>
        <v>0</v>
      </c>
      <c r="CK133" s="105">
        <f t="shared" si="1331"/>
        <v>0</v>
      </c>
      <c r="CL133" s="106">
        <f t="shared" si="1373"/>
        <v>0</v>
      </c>
      <c r="CM133" s="107">
        <f t="shared" si="1374"/>
        <v>0</v>
      </c>
      <c r="CN133" s="108">
        <f t="shared" si="1375"/>
        <v>0</v>
      </c>
      <c r="CO133" s="164">
        <f t="shared" si="1332"/>
        <v>0</v>
      </c>
      <c r="CP133" s="147"/>
      <c r="CQ133" s="161"/>
      <c r="CR133" s="162"/>
      <c r="CS133" s="164">
        <f t="shared" si="1333"/>
        <v>0</v>
      </c>
      <c r="CT133" s="147"/>
      <c r="CU133" s="161"/>
      <c r="CV133" s="162"/>
      <c r="CW133" s="105">
        <f t="shared" si="1334"/>
        <v>0</v>
      </c>
      <c r="CX133" s="106">
        <f t="shared" si="1376"/>
        <v>0</v>
      </c>
      <c r="CY133" s="107">
        <f t="shared" si="1377"/>
        <v>0</v>
      </c>
      <c r="CZ133" s="108">
        <f t="shared" si="1378"/>
        <v>0</v>
      </c>
      <c r="DA133" s="105">
        <f t="shared" si="1335"/>
        <v>0</v>
      </c>
      <c r="DB133" s="106">
        <f t="shared" si="1379"/>
        <v>0</v>
      </c>
      <c r="DC133" s="107">
        <f t="shared" si="1380"/>
        <v>0</v>
      </c>
      <c r="DD133" s="108">
        <f t="shared" si="1381"/>
        <v>0</v>
      </c>
      <c r="DE133" s="164">
        <f t="shared" si="1336"/>
        <v>0</v>
      </c>
      <c r="DF133" s="147"/>
      <c r="DG133" s="161"/>
      <c r="DH133" s="162"/>
      <c r="DI133" s="164">
        <f t="shared" si="1337"/>
        <v>0</v>
      </c>
      <c r="DJ133" s="147"/>
      <c r="DK133" s="161"/>
      <c r="DL133" s="162"/>
      <c r="DM133" s="105">
        <f t="shared" si="1338"/>
        <v>0</v>
      </c>
      <c r="DN133" s="106">
        <f t="shared" si="1382"/>
        <v>0</v>
      </c>
      <c r="DO133" s="107">
        <f t="shared" si="1383"/>
        <v>0</v>
      </c>
      <c r="DP133" s="108">
        <f t="shared" si="1384"/>
        <v>0</v>
      </c>
      <c r="DQ133" s="105">
        <f t="shared" si="1339"/>
        <v>0</v>
      </c>
      <c r="DR133" s="106">
        <f t="shared" si="1385"/>
        <v>0</v>
      </c>
      <c r="DS133" s="107">
        <f t="shared" si="1386"/>
        <v>0</v>
      </c>
      <c r="DT133" s="108">
        <f t="shared" si="1387"/>
        <v>0</v>
      </c>
      <c r="DU133" s="164">
        <f t="shared" si="1340"/>
        <v>0</v>
      </c>
      <c r="DV133" s="147"/>
      <c r="DW133" s="161"/>
      <c r="DX133" s="162"/>
      <c r="DY133" s="164">
        <f t="shared" si="1341"/>
        <v>0</v>
      </c>
      <c r="DZ133" s="147"/>
      <c r="EA133" s="161"/>
      <c r="EB133" s="162"/>
      <c r="EC133" s="105">
        <f t="shared" si="1342"/>
        <v>0</v>
      </c>
      <c r="ED133" s="106">
        <f t="shared" si="1388"/>
        <v>0</v>
      </c>
      <c r="EE133" s="107">
        <f t="shared" si="1389"/>
        <v>0</v>
      </c>
      <c r="EF133" s="108">
        <f t="shared" si="1390"/>
        <v>0</v>
      </c>
      <c r="EG133" s="105">
        <f t="shared" si="1343"/>
        <v>0</v>
      </c>
      <c r="EH133" s="106">
        <f t="shared" si="1391"/>
        <v>0</v>
      </c>
      <c r="EI133" s="107">
        <f t="shared" si="1392"/>
        <v>0</v>
      </c>
      <c r="EJ133" s="108">
        <f t="shared" si="1393"/>
        <v>0</v>
      </c>
      <c r="EK133" s="153">
        <f t="shared" si="648"/>
        <v>0</v>
      </c>
      <c r="EL133" s="153">
        <f t="shared" si="649"/>
        <v>0</v>
      </c>
      <c r="EM133" s="77">
        <f t="shared" si="1344"/>
        <v>0</v>
      </c>
      <c r="EN133" s="78"/>
      <c r="EO133" s="79"/>
      <c r="EP133" s="108"/>
      <c r="EQ133" s="105">
        <f t="shared" si="1345"/>
        <v>0</v>
      </c>
      <c r="ER133" s="106"/>
      <c r="ES133" s="107"/>
      <c r="ET133" s="108"/>
    </row>
    <row r="134" spans="1:150" s="4" customFormat="1" ht="26.25" hidden="1" customHeight="1" x14ac:dyDescent="0.3">
      <c r="A134" s="58" t="s">
        <v>24</v>
      </c>
      <c r="B134" s="55" t="s">
        <v>45</v>
      </c>
      <c r="C134" s="57" t="s">
        <v>170</v>
      </c>
      <c r="D134" s="93" t="s">
        <v>37</v>
      </c>
      <c r="E134" s="105">
        <f t="shared" si="1310"/>
        <v>0</v>
      </c>
      <c r="F134" s="106"/>
      <c r="G134" s="107"/>
      <c r="H134" s="108"/>
      <c r="I134" s="105">
        <f t="shared" si="1311"/>
        <v>0</v>
      </c>
      <c r="J134" s="106"/>
      <c r="K134" s="107"/>
      <c r="L134" s="108"/>
      <c r="M134" s="105">
        <f t="shared" si="1312"/>
        <v>0</v>
      </c>
      <c r="N134" s="106"/>
      <c r="O134" s="107"/>
      <c r="P134" s="108"/>
      <c r="Q134" s="105">
        <f t="shared" si="1313"/>
        <v>0</v>
      </c>
      <c r="R134" s="106"/>
      <c r="S134" s="107"/>
      <c r="T134" s="108"/>
      <c r="U134" s="105">
        <f t="shared" si="1394"/>
        <v>0</v>
      </c>
      <c r="V134" s="106">
        <f t="shared" si="1395"/>
        <v>0</v>
      </c>
      <c r="W134" s="107">
        <f t="shared" si="1396"/>
        <v>0</v>
      </c>
      <c r="X134" s="108">
        <f t="shared" si="1397"/>
        <v>0</v>
      </c>
      <c r="Y134" s="105">
        <f t="shared" si="1398"/>
        <v>0</v>
      </c>
      <c r="Z134" s="106">
        <f t="shared" si="1399"/>
        <v>0</v>
      </c>
      <c r="AA134" s="107">
        <f t="shared" si="1400"/>
        <v>0</v>
      </c>
      <c r="AB134" s="108">
        <f t="shared" si="1401"/>
        <v>0</v>
      </c>
      <c r="AC134" s="105">
        <f t="shared" si="1316"/>
        <v>0</v>
      </c>
      <c r="AD134" s="106"/>
      <c r="AE134" s="107"/>
      <c r="AF134" s="108"/>
      <c r="AG134" s="105">
        <f t="shared" si="1317"/>
        <v>0</v>
      </c>
      <c r="AH134" s="106"/>
      <c r="AI134" s="107"/>
      <c r="AJ134" s="108"/>
      <c r="AK134" s="105">
        <f t="shared" si="1318"/>
        <v>0</v>
      </c>
      <c r="AL134" s="106">
        <f t="shared" si="1352"/>
        <v>0</v>
      </c>
      <c r="AM134" s="107">
        <f t="shared" si="1353"/>
        <v>0</v>
      </c>
      <c r="AN134" s="108">
        <f t="shared" si="1354"/>
        <v>0</v>
      </c>
      <c r="AO134" s="105">
        <f t="shared" si="1319"/>
        <v>0</v>
      </c>
      <c r="AP134" s="106">
        <f t="shared" si="1355"/>
        <v>0</v>
      </c>
      <c r="AQ134" s="107">
        <f t="shared" si="1356"/>
        <v>0</v>
      </c>
      <c r="AR134" s="108">
        <f t="shared" si="1357"/>
        <v>0</v>
      </c>
      <c r="AS134" s="105">
        <f t="shared" si="1320"/>
        <v>0</v>
      </c>
      <c r="AT134" s="106"/>
      <c r="AU134" s="107"/>
      <c r="AV134" s="108"/>
      <c r="AW134" s="105">
        <f t="shared" si="1321"/>
        <v>0</v>
      </c>
      <c r="AX134" s="106"/>
      <c r="AY134" s="107"/>
      <c r="AZ134" s="108"/>
      <c r="BA134" s="105">
        <f t="shared" si="1322"/>
        <v>0</v>
      </c>
      <c r="BB134" s="106">
        <f t="shared" si="1358"/>
        <v>0</v>
      </c>
      <c r="BC134" s="107">
        <f t="shared" si="1359"/>
        <v>0</v>
      </c>
      <c r="BD134" s="108">
        <f t="shared" si="1360"/>
        <v>0</v>
      </c>
      <c r="BE134" s="105">
        <f t="shared" si="1323"/>
        <v>0</v>
      </c>
      <c r="BF134" s="106">
        <f t="shared" si="1361"/>
        <v>0</v>
      </c>
      <c r="BG134" s="107">
        <f t="shared" si="1362"/>
        <v>0</v>
      </c>
      <c r="BH134" s="108">
        <f t="shared" si="1363"/>
        <v>0</v>
      </c>
      <c r="BI134" s="105">
        <f t="shared" si="1324"/>
        <v>0</v>
      </c>
      <c r="BJ134" s="106"/>
      <c r="BK134" s="107"/>
      <c r="BL134" s="108"/>
      <c r="BM134" s="105">
        <f t="shared" si="1325"/>
        <v>0</v>
      </c>
      <c r="BN134" s="106"/>
      <c r="BO134" s="107"/>
      <c r="BP134" s="108"/>
      <c r="BQ134" s="105">
        <f t="shared" si="1326"/>
        <v>0</v>
      </c>
      <c r="BR134" s="106">
        <f t="shared" si="1364"/>
        <v>0</v>
      </c>
      <c r="BS134" s="107">
        <f t="shared" si="1365"/>
        <v>0</v>
      </c>
      <c r="BT134" s="108">
        <f t="shared" si="1366"/>
        <v>0</v>
      </c>
      <c r="BU134" s="105">
        <f t="shared" si="1327"/>
        <v>0</v>
      </c>
      <c r="BV134" s="106">
        <f t="shared" si="1367"/>
        <v>0</v>
      </c>
      <c r="BW134" s="107">
        <f t="shared" si="1368"/>
        <v>0</v>
      </c>
      <c r="BX134" s="108">
        <f t="shared" si="1369"/>
        <v>0</v>
      </c>
      <c r="BY134" s="164">
        <f t="shared" si="1328"/>
        <v>0</v>
      </c>
      <c r="BZ134" s="147"/>
      <c r="CA134" s="161"/>
      <c r="CB134" s="162"/>
      <c r="CC134" s="164">
        <f t="shared" si="1329"/>
        <v>0</v>
      </c>
      <c r="CD134" s="147"/>
      <c r="CE134" s="161"/>
      <c r="CF134" s="162"/>
      <c r="CG134" s="105">
        <f t="shared" si="1330"/>
        <v>0</v>
      </c>
      <c r="CH134" s="106">
        <f t="shared" si="1370"/>
        <v>0</v>
      </c>
      <c r="CI134" s="107">
        <f t="shared" si="1371"/>
        <v>0</v>
      </c>
      <c r="CJ134" s="108">
        <f t="shared" si="1372"/>
        <v>0</v>
      </c>
      <c r="CK134" s="105">
        <f t="shared" si="1331"/>
        <v>0</v>
      </c>
      <c r="CL134" s="106">
        <f t="shared" si="1373"/>
        <v>0</v>
      </c>
      <c r="CM134" s="107">
        <f t="shared" si="1374"/>
        <v>0</v>
      </c>
      <c r="CN134" s="108">
        <f t="shared" si="1375"/>
        <v>0</v>
      </c>
      <c r="CO134" s="164">
        <f t="shared" si="1332"/>
        <v>0</v>
      </c>
      <c r="CP134" s="147"/>
      <c r="CQ134" s="161"/>
      <c r="CR134" s="162"/>
      <c r="CS134" s="164">
        <f t="shared" si="1333"/>
        <v>0</v>
      </c>
      <c r="CT134" s="147"/>
      <c r="CU134" s="161"/>
      <c r="CV134" s="162"/>
      <c r="CW134" s="105">
        <f t="shared" si="1334"/>
        <v>0</v>
      </c>
      <c r="CX134" s="106">
        <f t="shared" si="1376"/>
        <v>0</v>
      </c>
      <c r="CY134" s="107">
        <f t="shared" si="1377"/>
        <v>0</v>
      </c>
      <c r="CZ134" s="108">
        <f t="shared" si="1378"/>
        <v>0</v>
      </c>
      <c r="DA134" s="105">
        <f t="shared" si="1335"/>
        <v>0</v>
      </c>
      <c r="DB134" s="106">
        <f t="shared" si="1379"/>
        <v>0</v>
      </c>
      <c r="DC134" s="107">
        <f t="shared" si="1380"/>
        <v>0</v>
      </c>
      <c r="DD134" s="108">
        <f t="shared" si="1381"/>
        <v>0</v>
      </c>
      <c r="DE134" s="164">
        <f t="shared" si="1336"/>
        <v>0</v>
      </c>
      <c r="DF134" s="147"/>
      <c r="DG134" s="161"/>
      <c r="DH134" s="162"/>
      <c r="DI134" s="164">
        <f t="shared" si="1337"/>
        <v>0</v>
      </c>
      <c r="DJ134" s="147"/>
      <c r="DK134" s="161"/>
      <c r="DL134" s="162"/>
      <c r="DM134" s="105">
        <f t="shared" si="1338"/>
        <v>0</v>
      </c>
      <c r="DN134" s="106">
        <f t="shared" si="1382"/>
        <v>0</v>
      </c>
      <c r="DO134" s="107">
        <f t="shared" si="1383"/>
        <v>0</v>
      </c>
      <c r="DP134" s="108">
        <f t="shared" si="1384"/>
        <v>0</v>
      </c>
      <c r="DQ134" s="105">
        <f t="shared" si="1339"/>
        <v>0</v>
      </c>
      <c r="DR134" s="106">
        <f t="shared" si="1385"/>
        <v>0</v>
      </c>
      <c r="DS134" s="107">
        <f t="shared" si="1386"/>
        <v>0</v>
      </c>
      <c r="DT134" s="108">
        <f t="shared" si="1387"/>
        <v>0</v>
      </c>
      <c r="DU134" s="164">
        <f t="shared" si="1340"/>
        <v>0</v>
      </c>
      <c r="DV134" s="147"/>
      <c r="DW134" s="161"/>
      <c r="DX134" s="162"/>
      <c r="DY134" s="164">
        <f t="shared" si="1341"/>
        <v>0</v>
      </c>
      <c r="DZ134" s="147"/>
      <c r="EA134" s="161"/>
      <c r="EB134" s="162"/>
      <c r="EC134" s="105">
        <f t="shared" si="1342"/>
        <v>0</v>
      </c>
      <c r="ED134" s="106">
        <f t="shared" si="1388"/>
        <v>0</v>
      </c>
      <c r="EE134" s="107">
        <f t="shared" si="1389"/>
        <v>0</v>
      </c>
      <c r="EF134" s="108">
        <f t="shared" si="1390"/>
        <v>0</v>
      </c>
      <c r="EG134" s="105">
        <f t="shared" si="1343"/>
        <v>0</v>
      </c>
      <c r="EH134" s="106">
        <f t="shared" si="1391"/>
        <v>0</v>
      </c>
      <c r="EI134" s="107">
        <f t="shared" si="1392"/>
        <v>0</v>
      </c>
      <c r="EJ134" s="108">
        <f t="shared" si="1393"/>
        <v>0</v>
      </c>
      <c r="EK134" s="153">
        <f t="shared" si="648"/>
        <v>0</v>
      </c>
      <c r="EL134" s="153">
        <f t="shared" si="649"/>
        <v>0</v>
      </c>
      <c r="EM134" s="77">
        <f t="shared" si="1344"/>
        <v>0</v>
      </c>
      <c r="EN134" s="78"/>
      <c r="EO134" s="79"/>
      <c r="EP134" s="108"/>
      <c r="EQ134" s="105">
        <f t="shared" si="1345"/>
        <v>0</v>
      </c>
      <c r="ER134" s="106"/>
      <c r="ES134" s="107"/>
      <c r="ET134" s="108"/>
    </row>
    <row r="135" spans="1:150" s="4" customFormat="1" ht="26.25" customHeight="1" x14ac:dyDescent="0.3">
      <c r="A135" s="42" t="s">
        <v>33</v>
      </c>
      <c r="B135" s="103" t="s">
        <v>47</v>
      </c>
      <c r="C135" s="57" t="s">
        <v>108</v>
      </c>
      <c r="D135" s="139" t="s">
        <v>37</v>
      </c>
      <c r="E135" s="105">
        <f t="shared" si="1310"/>
        <v>2.08</v>
      </c>
      <c r="F135" s="106">
        <v>2.08</v>
      </c>
      <c r="G135" s="107"/>
      <c r="H135" s="108"/>
      <c r="I135" s="105">
        <f t="shared" si="1311"/>
        <v>0</v>
      </c>
      <c r="J135" s="106"/>
      <c r="K135" s="107"/>
      <c r="L135" s="108"/>
      <c r="M135" s="105">
        <f t="shared" si="1312"/>
        <v>0</v>
      </c>
      <c r="N135" s="106"/>
      <c r="O135" s="107"/>
      <c r="P135" s="108"/>
      <c r="Q135" s="105">
        <f t="shared" si="1313"/>
        <v>0</v>
      </c>
      <c r="R135" s="106"/>
      <c r="S135" s="107"/>
      <c r="T135" s="108"/>
      <c r="U135" s="105">
        <f t="shared" si="1394"/>
        <v>2.08</v>
      </c>
      <c r="V135" s="106">
        <f t="shared" si="1395"/>
        <v>2.08</v>
      </c>
      <c r="W135" s="107">
        <f t="shared" si="1396"/>
        <v>0</v>
      </c>
      <c r="X135" s="108">
        <f t="shared" si="1397"/>
        <v>0</v>
      </c>
      <c r="Y135" s="105">
        <f t="shared" si="1398"/>
        <v>0</v>
      </c>
      <c r="Z135" s="106">
        <f t="shared" si="1399"/>
        <v>0</v>
      </c>
      <c r="AA135" s="107">
        <f t="shared" si="1400"/>
        <v>0</v>
      </c>
      <c r="AB135" s="108">
        <f t="shared" si="1401"/>
        <v>0</v>
      </c>
      <c r="AC135" s="105">
        <f t="shared" si="1316"/>
        <v>0</v>
      </c>
      <c r="AD135" s="106"/>
      <c r="AE135" s="107"/>
      <c r="AF135" s="108"/>
      <c r="AG135" s="105">
        <f t="shared" si="1317"/>
        <v>0</v>
      </c>
      <c r="AH135" s="106"/>
      <c r="AI135" s="107"/>
      <c r="AJ135" s="108"/>
      <c r="AK135" s="105">
        <f t="shared" si="1318"/>
        <v>2.08</v>
      </c>
      <c r="AL135" s="106">
        <f t="shared" si="1352"/>
        <v>2.08</v>
      </c>
      <c r="AM135" s="107">
        <f t="shared" si="1353"/>
        <v>0</v>
      </c>
      <c r="AN135" s="108">
        <f t="shared" si="1354"/>
        <v>0</v>
      </c>
      <c r="AO135" s="105">
        <f t="shared" si="1319"/>
        <v>0</v>
      </c>
      <c r="AP135" s="106">
        <f t="shared" si="1355"/>
        <v>0</v>
      </c>
      <c r="AQ135" s="107">
        <f t="shared" si="1356"/>
        <v>0</v>
      </c>
      <c r="AR135" s="108">
        <f t="shared" si="1357"/>
        <v>0</v>
      </c>
      <c r="AS135" s="105">
        <f t="shared" si="1320"/>
        <v>0</v>
      </c>
      <c r="AT135" s="106"/>
      <c r="AU135" s="107"/>
      <c r="AV135" s="108"/>
      <c r="AW135" s="105">
        <f t="shared" si="1321"/>
        <v>0</v>
      </c>
      <c r="AX135" s="106"/>
      <c r="AY135" s="107"/>
      <c r="AZ135" s="108"/>
      <c r="BA135" s="105">
        <f t="shared" si="1322"/>
        <v>2.08</v>
      </c>
      <c r="BB135" s="106">
        <f t="shared" si="1358"/>
        <v>2.08</v>
      </c>
      <c r="BC135" s="107">
        <f t="shared" si="1359"/>
        <v>0</v>
      </c>
      <c r="BD135" s="108">
        <f t="shared" si="1360"/>
        <v>0</v>
      </c>
      <c r="BE135" s="105">
        <f t="shared" si="1323"/>
        <v>0</v>
      </c>
      <c r="BF135" s="106">
        <f t="shared" si="1361"/>
        <v>0</v>
      </c>
      <c r="BG135" s="107">
        <f t="shared" si="1362"/>
        <v>0</v>
      </c>
      <c r="BH135" s="108">
        <f t="shared" si="1363"/>
        <v>0</v>
      </c>
      <c r="BI135" s="105">
        <f t="shared" si="1324"/>
        <v>0</v>
      </c>
      <c r="BJ135" s="106"/>
      <c r="BK135" s="107"/>
      <c r="BL135" s="108"/>
      <c r="BM135" s="105">
        <f t="shared" si="1325"/>
        <v>0</v>
      </c>
      <c r="BN135" s="106"/>
      <c r="BO135" s="107"/>
      <c r="BP135" s="108"/>
      <c r="BQ135" s="105">
        <f t="shared" si="1326"/>
        <v>2.08</v>
      </c>
      <c r="BR135" s="106">
        <f t="shared" si="1364"/>
        <v>2.08</v>
      </c>
      <c r="BS135" s="107">
        <f t="shared" si="1365"/>
        <v>0</v>
      </c>
      <c r="BT135" s="108">
        <f t="shared" si="1366"/>
        <v>0</v>
      </c>
      <c r="BU135" s="105">
        <f t="shared" si="1327"/>
        <v>0</v>
      </c>
      <c r="BV135" s="106">
        <f t="shared" si="1367"/>
        <v>0</v>
      </c>
      <c r="BW135" s="107">
        <f t="shared" si="1368"/>
        <v>0</v>
      </c>
      <c r="BX135" s="108">
        <f t="shared" si="1369"/>
        <v>0</v>
      </c>
      <c r="BY135" s="164">
        <f t="shared" si="1328"/>
        <v>0</v>
      </c>
      <c r="BZ135" s="147"/>
      <c r="CA135" s="161"/>
      <c r="CB135" s="162"/>
      <c r="CC135" s="164">
        <f t="shared" si="1329"/>
        <v>0</v>
      </c>
      <c r="CD135" s="147"/>
      <c r="CE135" s="161"/>
      <c r="CF135" s="162"/>
      <c r="CG135" s="105">
        <f t="shared" si="1330"/>
        <v>2.08</v>
      </c>
      <c r="CH135" s="106">
        <f t="shared" si="1370"/>
        <v>2.08</v>
      </c>
      <c r="CI135" s="107">
        <f t="shared" si="1371"/>
        <v>0</v>
      </c>
      <c r="CJ135" s="108">
        <f t="shared" si="1372"/>
        <v>0</v>
      </c>
      <c r="CK135" s="105">
        <f t="shared" si="1331"/>
        <v>0</v>
      </c>
      <c r="CL135" s="106">
        <f t="shared" si="1373"/>
        <v>0</v>
      </c>
      <c r="CM135" s="107">
        <f t="shared" si="1374"/>
        <v>0</v>
      </c>
      <c r="CN135" s="108">
        <f t="shared" si="1375"/>
        <v>0</v>
      </c>
      <c r="CO135" s="164">
        <f t="shared" si="1332"/>
        <v>0</v>
      </c>
      <c r="CP135" s="147"/>
      <c r="CQ135" s="161"/>
      <c r="CR135" s="162"/>
      <c r="CS135" s="164">
        <f t="shared" si="1333"/>
        <v>0</v>
      </c>
      <c r="CT135" s="147"/>
      <c r="CU135" s="161"/>
      <c r="CV135" s="162"/>
      <c r="CW135" s="105">
        <f t="shared" si="1334"/>
        <v>2.08</v>
      </c>
      <c r="CX135" s="106">
        <f t="shared" si="1376"/>
        <v>2.08</v>
      </c>
      <c r="CY135" s="107">
        <f t="shared" si="1377"/>
        <v>0</v>
      </c>
      <c r="CZ135" s="108">
        <f t="shared" si="1378"/>
        <v>0</v>
      </c>
      <c r="DA135" s="105">
        <f t="shared" si="1335"/>
        <v>0</v>
      </c>
      <c r="DB135" s="106">
        <f t="shared" si="1379"/>
        <v>0</v>
      </c>
      <c r="DC135" s="107">
        <f t="shared" si="1380"/>
        <v>0</v>
      </c>
      <c r="DD135" s="108">
        <f t="shared" si="1381"/>
        <v>0</v>
      </c>
      <c r="DE135" s="164">
        <f t="shared" si="1336"/>
        <v>0</v>
      </c>
      <c r="DF135" s="147"/>
      <c r="DG135" s="161"/>
      <c r="DH135" s="162"/>
      <c r="DI135" s="164">
        <f t="shared" si="1337"/>
        <v>0</v>
      </c>
      <c r="DJ135" s="147"/>
      <c r="DK135" s="161"/>
      <c r="DL135" s="162"/>
      <c r="DM135" s="105">
        <f t="shared" si="1338"/>
        <v>2.08</v>
      </c>
      <c r="DN135" s="106">
        <f t="shared" si="1382"/>
        <v>2.08</v>
      </c>
      <c r="DO135" s="107">
        <f t="shared" si="1383"/>
        <v>0</v>
      </c>
      <c r="DP135" s="108">
        <f t="shared" si="1384"/>
        <v>0</v>
      </c>
      <c r="DQ135" s="105">
        <f t="shared" si="1339"/>
        <v>0</v>
      </c>
      <c r="DR135" s="106">
        <f t="shared" si="1385"/>
        <v>0</v>
      </c>
      <c r="DS135" s="107">
        <f t="shared" si="1386"/>
        <v>0</v>
      </c>
      <c r="DT135" s="108">
        <f t="shared" si="1387"/>
        <v>0</v>
      </c>
      <c r="DU135" s="164">
        <f t="shared" si="1340"/>
        <v>0</v>
      </c>
      <c r="DV135" s="147"/>
      <c r="DW135" s="161"/>
      <c r="DX135" s="162"/>
      <c r="DY135" s="164">
        <f t="shared" si="1341"/>
        <v>0</v>
      </c>
      <c r="DZ135" s="147"/>
      <c r="EA135" s="161"/>
      <c r="EB135" s="162"/>
      <c r="EC135" s="105">
        <f t="shared" si="1342"/>
        <v>2.08</v>
      </c>
      <c r="ED135" s="106">
        <f t="shared" si="1388"/>
        <v>2.08</v>
      </c>
      <c r="EE135" s="107">
        <f t="shared" si="1389"/>
        <v>0</v>
      </c>
      <c r="EF135" s="108">
        <f t="shared" si="1390"/>
        <v>0</v>
      </c>
      <c r="EG135" s="105">
        <f t="shared" si="1343"/>
        <v>0</v>
      </c>
      <c r="EH135" s="106">
        <f t="shared" si="1391"/>
        <v>0</v>
      </c>
      <c r="EI135" s="107">
        <f t="shared" si="1392"/>
        <v>0</v>
      </c>
      <c r="EJ135" s="108">
        <f t="shared" si="1393"/>
        <v>0</v>
      </c>
      <c r="EK135" s="154">
        <f t="shared" si="648"/>
        <v>-0.55000000000000004</v>
      </c>
      <c r="EL135" s="154">
        <f t="shared" si="649"/>
        <v>-0.55000000000000004</v>
      </c>
      <c r="EM135" s="77">
        <f t="shared" si="1344"/>
        <v>1.53</v>
      </c>
      <c r="EN135" s="78">
        <v>1.53</v>
      </c>
      <c r="EO135" s="79"/>
      <c r="EP135" s="108"/>
      <c r="EQ135" s="105">
        <f t="shared" si="1345"/>
        <v>0</v>
      </c>
      <c r="ER135" s="106"/>
      <c r="ES135" s="107"/>
      <c r="ET135" s="108"/>
    </row>
    <row r="136" spans="1:150" s="4" customFormat="1" ht="24" customHeight="1" x14ac:dyDescent="0.3">
      <c r="A136" s="717" t="s">
        <v>41</v>
      </c>
      <c r="B136" s="718" t="s">
        <v>48</v>
      </c>
      <c r="C136" s="57" t="s">
        <v>168</v>
      </c>
      <c r="D136" s="93" t="s">
        <v>37</v>
      </c>
      <c r="E136" s="105">
        <f t="shared" si="1310"/>
        <v>130.98000000000002</v>
      </c>
      <c r="F136" s="106">
        <f>122.54+8.44</f>
        <v>130.98000000000002</v>
      </c>
      <c r="G136" s="107">
        <f>67.89+8.32-0.5</f>
        <v>75.710000000000008</v>
      </c>
      <c r="H136" s="108"/>
      <c r="I136" s="105">
        <f t="shared" si="1311"/>
        <v>0</v>
      </c>
      <c r="J136" s="106"/>
      <c r="K136" s="107"/>
      <c r="L136" s="108"/>
      <c r="M136" s="105">
        <f t="shared" si="1312"/>
        <v>0</v>
      </c>
      <c r="N136" s="106"/>
      <c r="O136" s="107"/>
      <c r="P136" s="108"/>
      <c r="Q136" s="105">
        <f t="shared" si="1313"/>
        <v>0</v>
      </c>
      <c r="R136" s="106"/>
      <c r="S136" s="107"/>
      <c r="T136" s="108"/>
      <c r="U136" s="105">
        <f t="shared" si="1394"/>
        <v>130.98000000000002</v>
      </c>
      <c r="V136" s="106">
        <f t="shared" si="1395"/>
        <v>130.98000000000002</v>
      </c>
      <c r="W136" s="107">
        <f t="shared" si="1396"/>
        <v>75.710000000000008</v>
      </c>
      <c r="X136" s="108">
        <f t="shared" si="1397"/>
        <v>0</v>
      </c>
      <c r="Y136" s="105">
        <f t="shared" si="1398"/>
        <v>0</v>
      </c>
      <c r="Z136" s="106">
        <f t="shared" si="1399"/>
        <v>0</v>
      </c>
      <c r="AA136" s="107">
        <f t="shared" si="1400"/>
        <v>0</v>
      </c>
      <c r="AB136" s="108">
        <f t="shared" si="1401"/>
        <v>0</v>
      </c>
      <c r="AC136" s="105">
        <f t="shared" si="1316"/>
        <v>0</v>
      </c>
      <c r="AD136" s="106"/>
      <c r="AE136" s="107"/>
      <c r="AF136" s="108"/>
      <c r="AG136" s="105">
        <f t="shared" si="1317"/>
        <v>0</v>
      </c>
      <c r="AH136" s="106"/>
      <c r="AI136" s="107"/>
      <c r="AJ136" s="108"/>
      <c r="AK136" s="105">
        <f t="shared" si="1318"/>
        <v>130.98000000000002</v>
      </c>
      <c r="AL136" s="106">
        <f t="shared" si="1352"/>
        <v>130.98000000000002</v>
      </c>
      <c r="AM136" s="107">
        <f t="shared" si="1353"/>
        <v>75.710000000000008</v>
      </c>
      <c r="AN136" s="108">
        <f t="shared" si="1354"/>
        <v>0</v>
      </c>
      <c r="AO136" s="105">
        <f t="shared" si="1319"/>
        <v>0</v>
      </c>
      <c r="AP136" s="106">
        <f t="shared" si="1355"/>
        <v>0</v>
      </c>
      <c r="AQ136" s="107">
        <f t="shared" si="1356"/>
        <v>0</v>
      </c>
      <c r="AR136" s="108">
        <f t="shared" si="1357"/>
        <v>0</v>
      </c>
      <c r="AS136" s="105">
        <f t="shared" si="1320"/>
        <v>0</v>
      </c>
      <c r="AT136" s="106"/>
      <c r="AU136" s="107"/>
      <c r="AV136" s="108"/>
      <c r="AW136" s="105">
        <f t="shared" si="1321"/>
        <v>0</v>
      </c>
      <c r="AX136" s="106"/>
      <c r="AY136" s="107"/>
      <c r="AZ136" s="108"/>
      <c r="BA136" s="105">
        <f t="shared" si="1322"/>
        <v>130.98000000000002</v>
      </c>
      <c r="BB136" s="106">
        <f t="shared" si="1358"/>
        <v>130.98000000000002</v>
      </c>
      <c r="BC136" s="107">
        <f t="shared" si="1359"/>
        <v>75.710000000000008</v>
      </c>
      <c r="BD136" s="108">
        <f t="shared" si="1360"/>
        <v>0</v>
      </c>
      <c r="BE136" s="105">
        <f t="shared" si="1323"/>
        <v>0</v>
      </c>
      <c r="BF136" s="106">
        <f t="shared" si="1361"/>
        <v>0</v>
      </c>
      <c r="BG136" s="107">
        <f t="shared" si="1362"/>
        <v>0</v>
      </c>
      <c r="BH136" s="108">
        <f t="shared" si="1363"/>
        <v>0</v>
      </c>
      <c r="BI136" s="105">
        <f t="shared" si="1324"/>
        <v>0</v>
      </c>
      <c r="BJ136" s="106"/>
      <c r="BK136" s="107"/>
      <c r="BL136" s="108"/>
      <c r="BM136" s="105">
        <f t="shared" si="1325"/>
        <v>0</v>
      </c>
      <c r="BN136" s="106"/>
      <c r="BO136" s="107"/>
      <c r="BP136" s="108"/>
      <c r="BQ136" s="105">
        <f t="shared" si="1326"/>
        <v>130.98000000000002</v>
      </c>
      <c r="BR136" s="106">
        <f t="shared" si="1364"/>
        <v>130.98000000000002</v>
      </c>
      <c r="BS136" s="107">
        <f t="shared" si="1365"/>
        <v>75.710000000000008</v>
      </c>
      <c r="BT136" s="108">
        <f t="shared" si="1366"/>
        <v>0</v>
      </c>
      <c r="BU136" s="105">
        <f t="shared" si="1327"/>
        <v>0</v>
      </c>
      <c r="BV136" s="106">
        <f t="shared" si="1367"/>
        <v>0</v>
      </c>
      <c r="BW136" s="107">
        <f t="shared" si="1368"/>
        <v>0</v>
      </c>
      <c r="BX136" s="108">
        <f t="shared" si="1369"/>
        <v>0</v>
      </c>
      <c r="BY136" s="164">
        <f t="shared" si="1328"/>
        <v>0</v>
      </c>
      <c r="BZ136" s="147"/>
      <c r="CA136" s="161"/>
      <c r="CB136" s="162"/>
      <c r="CC136" s="164">
        <f t="shared" si="1329"/>
        <v>0</v>
      </c>
      <c r="CD136" s="147"/>
      <c r="CE136" s="161"/>
      <c r="CF136" s="162"/>
      <c r="CG136" s="105">
        <f t="shared" si="1330"/>
        <v>130.98000000000002</v>
      </c>
      <c r="CH136" s="106">
        <f t="shared" si="1370"/>
        <v>130.98000000000002</v>
      </c>
      <c r="CI136" s="107">
        <f t="shared" si="1371"/>
        <v>75.710000000000008</v>
      </c>
      <c r="CJ136" s="108">
        <f t="shared" si="1372"/>
        <v>0</v>
      </c>
      <c r="CK136" s="105">
        <f t="shared" si="1331"/>
        <v>0</v>
      </c>
      <c r="CL136" s="106">
        <f t="shared" si="1373"/>
        <v>0</v>
      </c>
      <c r="CM136" s="107">
        <f t="shared" si="1374"/>
        <v>0</v>
      </c>
      <c r="CN136" s="108">
        <f t="shared" si="1375"/>
        <v>0</v>
      </c>
      <c r="CO136" s="164">
        <f t="shared" si="1332"/>
        <v>-14</v>
      </c>
      <c r="CP136" s="147">
        <v>-14</v>
      </c>
      <c r="CQ136" s="161"/>
      <c r="CR136" s="162"/>
      <c r="CS136" s="164">
        <f t="shared" si="1333"/>
        <v>0</v>
      </c>
      <c r="CT136" s="147"/>
      <c r="CU136" s="161"/>
      <c r="CV136" s="162"/>
      <c r="CW136" s="105">
        <f t="shared" si="1334"/>
        <v>116.98000000000002</v>
      </c>
      <c r="CX136" s="106">
        <f t="shared" si="1376"/>
        <v>116.98000000000002</v>
      </c>
      <c r="CY136" s="107">
        <f t="shared" si="1377"/>
        <v>75.710000000000008</v>
      </c>
      <c r="CZ136" s="108">
        <f t="shared" si="1378"/>
        <v>0</v>
      </c>
      <c r="DA136" s="105">
        <f t="shared" si="1335"/>
        <v>0</v>
      </c>
      <c r="DB136" s="106">
        <f t="shared" si="1379"/>
        <v>0</v>
      </c>
      <c r="DC136" s="107">
        <f t="shared" si="1380"/>
        <v>0</v>
      </c>
      <c r="DD136" s="108">
        <f t="shared" si="1381"/>
        <v>0</v>
      </c>
      <c r="DE136" s="164">
        <f t="shared" si="1336"/>
        <v>0</v>
      </c>
      <c r="DF136" s="147"/>
      <c r="DG136" s="161"/>
      <c r="DH136" s="162"/>
      <c r="DI136" s="164">
        <f t="shared" si="1337"/>
        <v>0</v>
      </c>
      <c r="DJ136" s="147"/>
      <c r="DK136" s="161"/>
      <c r="DL136" s="162"/>
      <c r="DM136" s="105">
        <f t="shared" si="1338"/>
        <v>116.98000000000002</v>
      </c>
      <c r="DN136" s="106">
        <f t="shared" si="1382"/>
        <v>116.98000000000002</v>
      </c>
      <c r="DO136" s="107">
        <f t="shared" si="1383"/>
        <v>75.710000000000008</v>
      </c>
      <c r="DP136" s="108">
        <f t="shared" si="1384"/>
        <v>0</v>
      </c>
      <c r="DQ136" s="105">
        <f t="shared" si="1339"/>
        <v>0</v>
      </c>
      <c r="DR136" s="106">
        <f t="shared" si="1385"/>
        <v>0</v>
      </c>
      <c r="DS136" s="107">
        <f t="shared" si="1386"/>
        <v>0</v>
      </c>
      <c r="DT136" s="108">
        <f t="shared" si="1387"/>
        <v>0</v>
      </c>
      <c r="DU136" s="164">
        <f t="shared" si="1340"/>
        <v>0</v>
      </c>
      <c r="DV136" s="147"/>
      <c r="DW136" s="161">
        <v>0.2</v>
      </c>
      <c r="DX136" s="162"/>
      <c r="DY136" s="164">
        <f t="shared" si="1341"/>
        <v>0</v>
      </c>
      <c r="DZ136" s="147"/>
      <c r="EA136" s="161"/>
      <c r="EB136" s="162"/>
      <c r="EC136" s="105">
        <f t="shared" si="1342"/>
        <v>116.98000000000002</v>
      </c>
      <c r="ED136" s="106">
        <f t="shared" si="1388"/>
        <v>116.98000000000002</v>
      </c>
      <c r="EE136" s="107">
        <f t="shared" si="1389"/>
        <v>75.910000000000011</v>
      </c>
      <c r="EF136" s="108">
        <f t="shared" si="1390"/>
        <v>0</v>
      </c>
      <c r="EG136" s="105">
        <f t="shared" si="1343"/>
        <v>0</v>
      </c>
      <c r="EH136" s="106">
        <f t="shared" si="1391"/>
        <v>0</v>
      </c>
      <c r="EI136" s="107">
        <f t="shared" si="1392"/>
        <v>0</v>
      </c>
      <c r="EJ136" s="108">
        <f t="shared" si="1393"/>
        <v>0</v>
      </c>
      <c r="EK136" s="163">
        <f t="shared" si="648"/>
        <v>7.7699999999999818</v>
      </c>
      <c r="EL136" s="163">
        <f t="shared" si="649"/>
        <v>21.769999999999982</v>
      </c>
      <c r="EM136" s="77">
        <f t="shared" si="1344"/>
        <v>138.75</v>
      </c>
      <c r="EN136" s="78">
        <f>142.98-4.23</f>
        <v>138.75</v>
      </c>
      <c r="EO136" s="79">
        <f>94.65-0.05-4.23</f>
        <v>90.37</v>
      </c>
      <c r="EP136" s="108"/>
      <c r="EQ136" s="105">
        <f t="shared" si="1345"/>
        <v>0</v>
      </c>
      <c r="ER136" s="106"/>
      <c r="ES136" s="107"/>
      <c r="ET136" s="108"/>
    </row>
    <row r="137" spans="1:150" s="4" customFormat="1" ht="24.75" customHeight="1" x14ac:dyDescent="0.3">
      <c r="A137" s="717"/>
      <c r="B137" s="718"/>
      <c r="C137" s="57" t="s">
        <v>169</v>
      </c>
      <c r="D137" s="139" t="s">
        <v>52</v>
      </c>
      <c r="E137" s="105">
        <f t="shared" si="1310"/>
        <v>107.83199999999999</v>
      </c>
      <c r="F137" s="106">
        <f>3.6+13.5+46.245+0.055+3.7+J137</f>
        <v>100.15199999999999</v>
      </c>
      <c r="G137" s="107">
        <v>3.7</v>
      </c>
      <c r="H137" s="108">
        <f>L137</f>
        <v>7.68</v>
      </c>
      <c r="I137" s="105">
        <f t="shared" si="1311"/>
        <v>40.731999999999999</v>
      </c>
      <c r="J137" s="106">
        <v>33.052</v>
      </c>
      <c r="K137" s="107"/>
      <c r="L137" s="108">
        <v>7.68</v>
      </c>
      <c r="M137" s="105">
        <f t="shared" si="1312"/>
        <v>0</v>
      </c>
      <c r="N137" s="106"/>
      <c r="O137" s="107"/>
      <c r="P137" s="108"/>
      <c r="Q137" s="105">
        <f t="shared" si="1313"/>
        <v>0</v>
      </c>
      <c r="R137" s="106"/>
      <c r="S137" s="107"/>
      <c r="T137" s="108"/>
      <c r="U137" s="105">
        <f t="shared" si="1394"/>
        <v>107.83199999999999</v>
      </c>
      <c r="V137" s="106">
        <f t="shared" si="1395"/>
        <v>100.15199999999999</v>
      </c>
      <c r="W137" s="107">
        <f t="shared" si="1396"/>
        <v>3.7</v>
      </c>
      <c r="X137" s="108">
        <f t="shared" si="1397"/>
        <v>7.68</v>
      </c>
      <c r="Y137" s="105">
        <f t="shared" si="1398"/>
        <v>40.731999999999999</v>
      </c>
      <c r="Z137" s="106">
        <f t="shared" si="1399"/>
        <v>33.052</v>
      </c>
      <c r="AA137" s="107">
        <f t="shared" si="1400"/>
        <v>0</v>
      </c>
      <c r="AB137" s="108">
        <f t="shared" si="1401"/>
        <v>7.68</v>
      </c>
      <c r="AC137" s="105">
        <f t="shared" si="1316"/>
        <v>5</v>
      </c>
      <c r="AD137" s="106">
        <v>5</v>
      </c>
      <c r="AE137" s="107"/>
      <c r="AF137" s="108"/>
      <c r="AG137" s="105">
        <f t="shared" si="1317"/>
        <v>0</v>
      </c>
      <c r="AH137" s="106"/>
      <c r="AI137" s="107"/>
      <c r="AJ137" s="108"/>
      <c r="AK137" s="105">
        <f t="shared" si="1318"/>
        <v>112.83199999999999</v>
      </c>
      <c r="AL137" s="106">
        <f t="shared" si="1352"/>
        <v>105.15199999999999</v>
      </c>
      <c r="AM137" s="107">
        <f t="shared" si="1353"/>
        <v>3.7</v>
      </c>
      <c r="AN137" s="108">
        <f t="shared" si="1354"/>
        <v>7.68</v>
      </c>
      <c r="AO137" s="105">
        <f t="shared" si="1319"/>
        <v>40.731999999999999</v>
      </c>
      <c r="AP137" s="106">
        <f t="shared" si="1355"/>
        <v>33.052</v>
      </c>
      <c r="AQ137" s="107">
        <f t="shared" si="1356"/>
        <v>0</v>
      </c>
      <c r="AR137" s="108">
        <f t="shared" si="1357"/>
        <v>7.68</v>
      </c>
      <c r="AS137" s="105">
        <f t="shared" si="1320"/>
        <v>0</v>
      </c>
      <c r="AT137" s="106"/>
      <c r="AU137" s="107"/>
      <c r="AV137" s="108"/>
      <c r="AW137" s="105">
        <f t="shared" si="1321"/>
        <v>0</v>
      </c>
      <c r="AX137" s="106"/>
      <c r="AY137" s="107"/>
      <c r="AZ137" s="108"/>
      <c r="BA137" s="105">
        <f t="shared" si="1322"/>
        <v>112.83199999999999</v>
      </c>
      <c r="BB137" s="106">
        <f t="shared" si="1358"/>
        <v>105.15199999999999</v>
      </c>
      <c r="BC137" s="107">
        <f t="shared" si="1359"/>
        <v>3.7</v>
      </c>
      <c r="BD137" s="108">
        <f t="shared" si="1360"/>
        <v>7.68</v>
      </c>
      <c r="BE137" s="105">
        <f t="shared" si="1323"/>
        <v>40.731999999999999</v>
      </c>
      <c r="BF137" s="106">
        <f t="shared" si="1361"/>
        <v>33.052</v>
      </c>
      <c r="BG137" s="107">
        <f t="shared" si="1362"/>
        <v>0</v>
      </c>
      <c r="BH137" s="108">
        <f t="shared" si="1363"/>
        <v>7.68</v>
      </c>
      <c r="BI137" s="105">
        <f t="shared" si="1324"/>
        <v>0</v>
      </c>
      <c r="BJ137" s="106"/>
      <c r="BK137" s="107"/>
      <c r="BL137" s="108"/>
      <c r="BM137" s="105">
        <f t="shared" si="1325"/>
        <v>0</v>
      </c>
      <c r="BN137" s="106"/>
      <c r="BO137" s="107"/>
      <c r="BP137" s="108"/>
      <c r="BQ137" s="105">
        <f t="shared" si="1326"/>
        <v>112.83199999999999</v>
      </c>
      <c r="BR137" s="106">
        <f t="shared" si="1364"/>
        <v>105.15199999999999</v>
      </c>
      <c r="BS137" s="107">
        <f t="shared" si="1365"/>
        <v>3.7</v>
      </c>
      <c r="BT137" s="108">
        <f t="shared" si="1366"/>
        <v>7.68</v>
      </c>
      <c r="BU137" s="105">
        <f t="shared" si="1327"/>
        <v>40.731999999999999</v>
      </c>
      <c r="BV137" s="106">
        <f t="shared" si="1367"/>
        <v>33.052</v>
      </c>
      <c r="BW137" s="107">
        <f t="shared" si="1368"/>
        <v>0</v>
      </c>
      <c r="BX137" s="108">
        <f t="shared" si="1369"/>
        <v>7.68</v>
      </c>
      <c r="BY137" s="164">
        <f t="shared" si="1328"/>
        <v>0</v>
      </c>
      <c r="BZ137" s="147"/>
      <c r="CA137" s="161"/>
      <c r="CB137" s="162"/>
      <c r="CC137" s="164">
        <f t="shared" si="1329"/>
        <v>0</v>
      </c>
      <c r="CD137" s="147"/>
      <c r="CE137" s="161"/>
      <c r="CF137" s="162"/>
      <c r="CG137" s="105">
        <f t="shared" si="1330"/>
        <v>112.83199999999999</v>
      </c>
      <c r="CH137" s="106">
        <f t="shared" si="1370"/>
        <v>105.15199999999999</v>
      </c>
      <c r="CI137" s="107">
        <f t="shared" si="1371"/>
        <v>3.7</v>
      </c>
      <c r="CJ137" s="108">
        <f t="shared" si="1372"/>
        <v>7.68</v>
      </c>
      <c r="CK137" s="105">
        <f t="shared" si="1331"/>
        <v>40.731999999999999</v>
      </c>
      <c r="CL137" s="106">
        <f t="shared" si="1373"/>
        <v>33.052</v>
      </c>
      <c r="CM137" s="107">
        <f t="shared" si="1374"/>
        <v>0</v>
      </c>
      <c r="CN137" s="108">
        <f t="shared" si="1375"/>
        <v>7.68</v>
      </c>
      <c r="CO137" s="164">
        <f t="shared" si="1332"/>
        <v>14.1</v>
      </c>
      <c r="CP137" s="147">
        <v>14.1</v>
      </c>
      <c r="CQ137" s="161">
        <v>5.4640000000000004</v>
      </c>
      <c r="CR137" s="162"/>
      <c r="CS137" s="164">
        <f t="shared" si="1333"/>
        <v>0</v>
      </c>
      <c r="CT137" s="147"/>
      <c r="CU137" s="161"/>
      <c r="CV137" s="162"/>
      <c r="CW137" s="105">
        <f t="shared" si="1334"/>
        <v>126.93199999999999</v>
      </c>
      <c r="CX137" s="106">
        <f t="shared" si="1376"/>
        <v>119.25199999999998</v>
      </c>
      <c r="CY137" s="107">
        <f t="shared" si="1377"/>
        <v>9.1640000000000015</v>
      </c>
      <c r="CZ137" s="108">
        <f t="shared" si="1378"/>
        <v>7.68</v>
      </c>
      <c r="DA137" s="105">
        <f t="shared" si="1335"/>
        <v>40.731999999999999</v>
      </c>
      <c r="DB137" s="106">
        <f t="shared" si="1379"/>
        <v>33.052</v>
      </c>
      <c r="DC137" s="107">
        <f t="shared" si="1380"/>
        <v>0</v>
      </c>
      <c r="DD137" s="108">
        <f t="shared" si="1381"/>
        <v>7.68</v>
      </c>
      <c r="DE137" s="164">
        <f t="shared" si="1336"/>
        <v>0</v>
      </c>
      <c r="DF137" s="147"/>
      <c r="DG137" s="161"/>
      <c r="DH137" s="162"/>
      <c r="DI137" s="164">
        <f t="shared" si="1337"/>
        <v>0</v>
      </c>
      <c r="DJ137" s="147"/>
      <c r="DK137" s="161"/>
      <c r="DL137" s="162"/>
      <c r="DM137" s="105">
        <f t="shared" si="1338"/>
        <v>126.93199999999999</v>
      </c>
      <c r="DN137" s="106">
        <f t="shared" si="1382"/>
        <v>119.25199999999998</v>
      </c>
      <c r="DO137" s="107">
        <f t="shared" si="1383"/>
        <v>9.1640000000000015</v>
      </c>
      <c r="DP137" s="108">
        <f t="shared" si="1384"/>
        <v>7.68</v>
      </c>
      <c r="DQ137" s="105">
        <f t="shared" si="1339"/>
        <v>40.731999999999999</v>
      </c>
      <c r="DR137" s="106">
        <f t="shared" si="1385"/>
        <v>33.052</v>
      </c>
      <c r="DS137" s="107">
        <f t="shared" si="1386"/>
        <v>0</v>
      </c>
      <c r="DT137" s="108">
        <f t="shared" si="1387"/>
        <v>7.68</v>
      </c>
      <c r="DU137" s="164">
        <f t="shared" si="1340"/>
        <v>12</v>
      </c>
      <c r="DV137" s="147">
        <v>7</v>
      </c>
      <c r="DW137" s="161">
        <v>-0.33700000000000002</v>
      </c>
      <c r="DX137" s="162">
        <v>5</v>
      </c>
      <c r="DY137" s="164">
        <f t="shared" si="1341"/>
        <v>0</v>
      </c>
      <c r="DZ137" s="147"/>
      <c r="EA137" s="161"/>
      <c r="EB137" s="162"/>
      <c r="EC137" s="105">
        <f t="shared" si="1342"/>
        <v>138.93199999999999</v>
      </c>
      <c r="ED137" s="106">
        <f t="shared" si="1388"/>
        <v>126.25199999999998</v>
      </c>
      <c r="EE137" s="107">
        <f t="shared" si="1389"/>
        <v>8.8270000000000017</v>
      </c>
      <c r="EF137" s="108">
        <f t="shared" si="1390"/>
        <v>12.68</v>
      </c>
      <c r="EG137" s="105">
        <f t="shared" si="1343"/>
        <v>40.731999999999999</v>
      </c>
      <c r="EH137" s="106">
        <f t="shared" si="1391"/>
        <v>33.052</v>
      </c>
      <c r="EI137" s="107">
        <f t="shared" si="1392"/>
        <v>0</v>
      </c>
      <c r="EJ137" s="108">
        <f t="shared" si="1393"/>
        <v>7.68</v>
      </c>
      <c r="EK137" s="163">
        <f t="shared" si="648"/>
        <v>18.855000000000004</v>
      </c>
      <c r="EL137" s="154">
        <f t="shared" si="649"/>
        <v>-12.24499999999999</v>
      </c>
      <c r="EM137" s="77">
        <f t="shared" si="1344"/>
        <v>126.687</v>
      </c>
      <c r="EN137" s="78">
        <f>ER137+97.3</f>
        <v>126.687</v>
      </c>
      <c r="EO137" s="79">
        <f>ES137+20-15.75</f>
        <v>14.106999999999999</v>
      </c>
      <c r="EP137" s="108">
        <f>ET137</f>
        <v>0</v>
      </c>
      <c r="EQ137" s="105">
        <f t="shared" si="1345"/>
        <v>29.387</v>
      </c>
      <c r="ER137" s="106">
        <f>29.372-6+5.978+0.037</f>
        <v>29.387</v>
      </c>
      <c r="ES137" s="107">
        <v>9.8569999999999993</v>
      </c>
      <c r="ET137" s="108"/>
    </row>
    <row r="138" spans="1:150" ht="20.25" customHeight="1" x14ac:dyDescent="0.3">
      <c r="A138" s="720" t="s">
        <v>7</v>
      </c>
      <c r="B138" s="702" t="s">
        <v>49</v>
      </c>
      <c r="C138" s="57" t="s">
        <v>170</v>
      </c>
      <c r="D138" s="95" t="s">
        <v>37</v>
      </c>
      <c r="E138" s="105">
        <f t="shared" si="1310"/>
        <v>39.9</v>
      </c>
      <c r="F138" s="106">
        <v>39.9</v>
      </c>
      <c r="G138" s="107">
        <v>23.55</v>
      </c>
      <c r="H138" s="108"/>
      <c r="I138" s="105">
        <f t="shared" si="1311"/>
        <v>0</v>
      </c>
      <c r="J138" s="106"/>
      <c r="K138" s="107"/>
      <c r="L138" s="108"/>
      <c r="M138" s="105">
        <f t="shared" si="1312"/>
        <v>0</v>
      </c>
      <c r="N138" s="106"/>
      <c r="O138" s="107"/>
      <c r="P138" s="108"/>
      <c r="Q138" s="105">
        <f t="shared" si="1313"/>
        <v>0</v>
      </c>
      <c r="R138" s="106"/>
      <c r="S138" s="107"/>
      <c r="T138" s="108"/>
      <c r="U138" s="105">
        <f t="shared" si="1394"/>
        <v>39.9</v>
      </c>
      <c r="V138" s="106">
        <f t="shared" si="1395"/>
        <v>39.9</v>
      </c>
      <c r="W138" s="107">
        <f t="shared" si="1396"/>
        <v>23.55</v>
      </c>
      <c r="X138" s="108">
        <f t="shared" si="1397"/>
        <v>0</v>
      </c>
      <c r="Y138" s="105">
        <f t="shared" si="1398"/>
        <v>0</v>
      </c>
      <c r="Z138" s="106">
        <f t="shared" si="1399"/>
        <v>0</v>
      </c>
      <c r="AA138" s="107">
        <f t="shared" si="1400"/>
        <v>0</v>
      </c>
      <c r="AB138" s="108">
        <f t="shared" si="1401"/>
        <v>0</v>
      </c>
      <c r="AC138" s="105">
        <f t="shared" si="1316"/>
        <v>0</v>
      </c>
      <c r="AD138" s="106"/>
      <c r="AE138" s="107"/>
      <c r="AF138" s="108"/>
      <c r="AG138" s="105">
        <f t="shared" si="1317"/>
        <v>0</v>
      </c>
      <c r="AH138" s="106"/>
      <c r="AI138" s="107"/>
      <c r="AJ138" s="108"/>
      <c r="AK138" s="105">
        <f t="shared" si="1318"/>
        <v>39.9</v>
      </c>
      <c r="AL138" s="106">
        <f t="shared" si="1352"/>
        <v>39.9</v>
      </c>
      <c r="AM138" s="107">
        <f t="shared" si="1353"/>
        <v>23.55</v>
      </c>
      <c r="AN138" s="108">
        <f t="shared" si="1354"/>
        <v>0</v>
      </c>
      <c r="AO138" s="105">
        <f t="shared" si="1319"/>
        <v>0</v>
      </c>
      <c r="AP138" s="106">
        <f t="shared" si="1355"/>
        <v>0</v>
      </c>
      <c r="AQ138" s="107">
        <f t="shared" si="1356"/>
        <v>0</v>
      </c>
      <c r="AR138" s="108">
        <f t="shared" si="1357"/>
        <v>0</v>
      </c>
      <c r="AS138" s="105">
        <f t="shared" si="1320"/>
        <v>6.7759999999999998</v>
      </c>
      <c r="AT138" s="106">
        <v>6.7759999999999998</v>
      </c>
      <c r="AU138" s="107"/>
      <c r="AV138" s="108"/>
      <c r="AW138" s="105">
        <f t="shared" si="1321"/>
        <v>0</v>
      </c>
      <c r="AX138" s="106"/>
      <c r="AY138" s="107"/>
      <c r="AZ138" s="108"/>
      <c r="BA138" s="105">
        <f t="shared" si="1322"/>
        <v>46.676000000000002</v>
      </c>
      <c r="BB138" s="106">
        <f t="shared" si="1358"/>
        <v>46.676000000000002</v>
      </c>
      <c r="BC138" s="107">
        <f t="shared" si="1359"/>
        <v>23.55</v>
      </c>
      <c r="BD138" s="108">
        <f t="shared" si="1360"/>
        <v>0</v>
      </c>
      <c r="BE138" s="105">
        <f t="shared" si="1323"/>
        <v>0</v>
      </c>
      <c r="BF138" s="106">
        <f t="shared" si="1361"/>
        <v>0</v>
      </c>
      <c r="BG138" s="107">
        <f t="shared" si="1362"/>
        <v>0</v>
      </c>
      <c r="BH138" s="108">
        <f t="shared" si="1363"/>
        <v>0</v>
      </c>
      <c r="BI138" s="105">
        <f t="shared" si="1324"/>
        <v>0</v>
      </c>
      <c r="BJ138" s="106"/>
      <c r="BK138" s="107"/>
      <c r="BL138" s="108"/>
      <c r="BM138" s="105">
        <f t="shared" si="1325"/>
        <v>0</v>
      </c>
      <c r="BN138" s="106"/>
      <c r="BO138" s="107"/>
      <c r="BP138" s="108"/>
      <c r="BQ138" s="105">
        <f t="shared" si="1326"/>
        <v>46.676000000000002</v>
      </c>
      <c r="BR138" s="106">
        <f t="shared" si="1364"/>
        <v>46.676000000000002</v>
      </c>
      <c r="BS138" s="107">
        <f t="shared" si="1365"/>
        <v>23.55</v>
      </c>
      <c r="BT138" s="108">
        <f t="shared" si="1366"/>
        <v>0</v>
      </c>
      <c r="BU138" s="105">
        <f t="shared" si="1327"/>
        <v>0</v>
      </c>
      <c r="BV138" s="106">
        <f t="shared" si="1367"/>
        <v>0</v>
      </c>
      <c r="BW138" s="107">
        <f t="shared" si="1368"/>
        <v>0</v>
      </c>
      <c r="BX138" s="108">
        <f t="shared" si="1369"/>
        <v>0</v>
      </c>
      <c r="BY138" s="164">
        <f t="shared" si="1328"/>
        <v>0</v>
      </c>
      <c r="BZ138" s="147"/>
      <c r="CA138" s="161"/>
      <c r="CB138" s="162"/>
      <c r="CC138" s="164">
        <f t="shared" si="1329"/>
        <v>0</v>
      </c>
      <c r="CD138" s="147"/>
      <c r="CE138" s="161"/>
      <c r="CF138" s="162"/>
      <c r="CG138" s="105">
        <f t="shared" si="1330"/>
        <v>46.676000000000002</v>
      </c>
      <c r="CH138" s="106">
        <f t="shared" si="1370"/>
        <v>46.676000000000002</v>
      </c>
      <c r="CI138" s="107">
        <f t="shared" si="1371"/>
        <v>23.55</v>
      </c>
      <c r="CJ138" s="108">
        <f t="shared" si="1372"/>
        <v>0</v>
      </c>
      <c r="CK138" s="105">
        <f t="shared" si="1331"/>
        <v>0</v>
      </c>
      <c r="CL138" s="106">
        <f t="shared" si="1373"/>
        <v>0</v>
      </c>
      <c r="CM138" s="107">
        <f t="shared" si="1374"/>
        <v>0</v>
      </c>
      <c r="CN138" s="108">
        <f t="shared" si="1375"/>
        <v>0</v>
      </c>
      <c r="CO138" s="164">
        <f t="shared" si="1332"/>
        <v>0</v>
      </c>
      <c r="CP138" s="147"/>
      <c r="CQ138" s="161"/>
      <c r="CR138" s="162"/>
      <c r="CS138" s="164">
        <f t="shared" si="1333"/>
        <v>0</v>
      </c>
      <c r="CT138" s="147"/>
      <c r="CU138" s="161"/>
      <c r="CV138" s="162"/>
      <c r="CW138" s="105">
        <f t="shared" si="1334"/>
        <v>46.676000000000002</v>
      </c>
      <c r="CX138" s="106">
        <f t="shared" si="1376"/>
        <v>46.676000000000002</v>
      </c>
      <c r="CY138" s="107">
        <f t="shared" si="1377"/>
        <v>23.55</v>
      </c>
      <c r="CZ138" s="108">
        <f t="shared" si="1378"/>
        <v>0</v>
      </c>
      <c r="DA138" s="105">
        <f t="shared" si="1335"/>
        <v>0</v>
      </c>
      <c r="DB138" s="106">
        <f t="shared" si="1379"/>
        <v>0</v>
      </c>
      <c r="DC138" s="107">
        <f t="shared" si="1380"/>
        <v>0</v>
      </c>
      <c r="DD138" s="108">
        <f t="shared" si="1381"/>
        <v>0</v>
      </c>
      <c r="DE138" s="164">
        <f t="shared" si="1336"/>
        <v>6.91</v>
      </c>
      <c r="DF138" s="147">
        <v>6.91</v>
      </c>
      <c r="DG138" s="161"/>
      <c r="DH138" s="162"/>
      <c r="DI138" s="164">
        <f t="shared" si="1337"/>
        <v>0</v>
      </c>
      <c r="DJ138" s="147"/>
      <c r="DK138" s="161"/>
      <c r="DL138" s="162"/>
      <c r="DM138" s="105">
        <f t="shared" si="1338"/>
        <v>53.585999999999999</v>
      </c>
      <c r="DN138" s="106">
        <f t="shared" si="1382"/>
        <v>53.585999999999999</v>
      </c>
      <c r="DO138" s="107">
        <f t="shared" si="1383"/>
        <v>23.55</v>
      </c>
      <c r="DP138" s="108">
        <f t="shared" si="1384"/>
        <v>0</v>
      </c>
      <c r="DQ138" s="105">
        <f t="shared" si="1339"/>
        <v>0</v>
      </c>
      <c r="DR138" s="106">
        <f t="shared" si="1385"/>
        <v>0</v>
      </c>
      <c r="DS138" s="107">
        <f t="shared" si="1386"/>
        <v>0</v>
      </c>
      <c r="DT138" s="108">
        <f t="shared" si="1387"/>
        <v>0</v>
      </c>
      <c r="DU138" s="164">
        <f t="shared" si="1340"/>
        <v>0</v>
      </c>
      <c r="DV138" s="147"/>
      <c r="DW138" s="161"/>
      <c r="DX138" s="162"/>
      <c r="DY138" s="164">
        <f t="shared" si="1341"/>
        <v>0</v>
      </c>
      <c r="DZ138" s="147"/>
      <c r="EA138" s="161"/>
      <c r="EB138" s="162"/>
      <c r="EC138" s="105">
        <f t="shared" si="1342"/>
        <v>53.585999999999999</v>
      </c>
      <c r="ED138" s="106">
        <f t="shared" si="1388"/>
        <v>53.585999999999999</v>
      </c>
      <c r="EE138" s="107">
        <f t="shared" si="1389"/>
        <v>23.55</v>
      </c>
      <c r="EF138" s="108">
        <f t="shared" si="1390"/>
        <v>0</v>
      </c>
      <c r="EG138" s="105">
        <f t="shared" si="1343"/>
        <v>0</v>
      </c>
      <c r="EH138" s="106">
        <f t="shared" si="1391"/>
        <v>0</v>
      </c>
      <c r="EI138" s="107">
        <f t="shared" si="1392"/>
        <v>0</v>
      </c>
      <c r="EJ138" s="108">
        <f t="shared" si="1393"/>
        <v>0</v>
      </c>
      <c r="EK138" s="163">
        <f t="shared" si="648"/>
        <v>11.150000000000006</v>
      </c>
      <c r="EL138" s="154">
        <f t="shared" si="649"/>
        <v>-2.5359999999999943</v>
      </c>
      <c r="EM138" s="77">
        <f t="shared" si="1344"/>
        <v>51.050000000000004</v>
      </c>
      <c r="EN138" s="78">
        <f>43.45+7.6</f>
        <v>51.050000000000004</v>
      </c>
      <c r="EO138" s="79">
        <f>27.05-0.1+7.5</f>
        <v>34.450000000000003</v>
      </c>
      <c r="EP138" s="108"/>
      <c r="EQ138" s="105">
        <f t="shared" si="1345"/>
        <v>0</v>
      </c>
      <c r="ER138" s="106"/>
      <c r="ES138" s="107"/>
      <c r="ET138" s="108"/>
    </row>
    <row r="139" spans="1:150" ht="20.25" customHeight="1" x14ac:dyDescent="0.3">
      <c r="A139" s="721"/>
      <c r="B139" s="703"/>
      <c r="C139" s="57" t="s">
        <v>227</v>
      </c>
      <c r="D139" s="139" t="s">
        <v>52</v>
      </c>
      <c r="E139" s="105"/>
      <c r="F139" s="106"/>
      <c r="G139" s="107"/>
      <c r="H139" s="108"/>
      <c r="I139" s="105"/>
      <c r="J139" s="106"/>
      <c r="K139" s="107"/>
      <c r="L139" s="108"/>
      <c r="M139" s="105"/>
      <c r="N139" s="106"/>
      <c r="O139" s="107"/>
      <c r="P139" s="108"/>
      <c r="Q139" s="105"/>
      <c r="R139" s="106"/>
      <c r="S139" s="107"/>
      <c r="T139" s="108"/>
      <c r="U139" s="105"/>
      <c r="V139" s="106"/>
      <c r="W139" s="107"/>
      <c r="X139" s="108"/>
      <c r="Y139" s="105"/>
      <c r="Z139" s="106"/>
      <c r="AA139" s="107"/>
      <c r="AB139" s="108"/>
      <c r="AC139" s="105"/>
      <c r="AD139" s="106"/>
      <c r="AE139" s="107"/>
      <c r="AF139" s="108"/>
      <c r="AG139" s="105"/>
      <c r="AH139" s="106"/>
      <c r="AI139" s="107"/>
      <c r="AJ139" s="108"/>
      <c r="AK139" s="105"/>
      <c r="AL139" s="106"/>
      <c r="AM139" s="107"/>
      <c r="AN139" s="108"/>
      <c r="AO139" s="105"/>
      <c r="AP139" s="106"/>
      <c r="AQ139" s="107"/>
      <c r="AR139" s="108"/>
      <c r="AS139" s="105"/>
      <c r="AT139" s="106"/>
      <c r="AU139" s="107"/>
      <c r="AV139" s="108"/>
      <c r="AW139" s="105"/>
      <c r="AX139" s="106"/>
      <c r="AY139" s="107"/>
      <c r="AZ139" s="108"/>
      <c r="BA139" s="105"/>
      <c r="BB139" s="106"/>
      <c r="BC139" s="107"/>
      <c r="BD139" s="108"/>
      <c r="BE139" s="105"/>
      <c r="BF139" s="106"/>
      <c r="BG139" s="107"/>
      <c r="BH139" s="108"/>
      <c r="BI139" s="105"/>
      <c r="BJ139" s="106"/>
      <c r="BK139" s="107"/>
      <c r="BL139" s="108"/>
      <c r="BM139" s="105"/>
      <c r="BN139" s="106"/>
      <c r="BO139" s="107"/>
      <c r="BP139" s="108"/>
      <c r="BQ139" s="105"/>
      <c r="BR139" s="106"/>
      <c r="BS139" s="107"/>
      <c r="BT139" s="108"/>
      <c r="BU139" s="105"/>
      <c r="BV139" s="106"/>
      <c r="BW139" s="107"/>
      <c r="BX139" s="108"/>
      <c r="BY139" s="164"/>
      <c r="BZ139" s="147"/>
      <c r="CA139" s="161"/>
      <c r="CB139" s="162"/>
      <c r="CC139" s="164"/>
      <c r="CD139" s="147"/>
      <c r="CE139" s="161"/>
      <c r="CF139" s="162"/>
      <c r="CG139" s="105"/>
      <c r="CH139" s="106"/>
      <c r="CI139" s="107"/>
      <c r="CJ139" s="108"/>
      <c r="CK139" s="105"/>
      <c r="CL139" s="106"/>
      <c r="CM139" s="107"/>
      <c r="CN139" s="108"/>
      <c r="CO139" s="164"/>
      <c r="CP139" s="147"/>
      <c r="CQ139" s="161"/>
      <c r="CR139" s="162"/>
      <c r="CS139" s="164"/>
      <c r="CT139" s="147"/>
      <c r="CU139" s="161"/>
      <c r="CV139" s="162"/>
      <c r="CW139" s="105"/>
      <c r="CX139" s="106"/>
      <c r="CY139" s="107"/>
      <c r="CZ139" s="108"/>
      <c r="DA139" s="105"/>
      <c r="DB139" s="106"/>
      <c r="DC139" s="107"/>
      <c r="DD139" s="108"/>
      <c r="DE139" s="164"/>
      <c r="DF139" s="147"/>
      <c r="DG139" s="161"/>
      <c r="DH139" s="162"/>
      <c r="DI139" s="164"/>
      <c r="DJ139" s="147"/>
      <c r="DK139" s="161"/>
      <c r="DL139" s="162"/>
      <c r="DM139" s="105"/>
      <c r="DN139" s="106"/>
      <c r="DO139" s="107"/>
      <c r="DP139" s="108"/>
      <c r="DQ139" s="105"/>
      <c r="DR139" s="106"/>
      <c r="DS139" s="107"/>
      <c r="DT139" s="108"/>
      <c r="DU139" s="164"/>
      <c r="DV139" s="147"/>
      <c r="DW139" s="161"/>
      <c r="DX139" s="162"/>
      <c r="DY139" s="164"/>
      <c r="DZ139" s="147"/>
      <c r="EA139" s="161"/>
      <c r="EB139" s="162"/>
      <c r="EC139" s="105"/>
      <c r="ED139" s="106"/>
      <c r="EE139" s="107"/>
      <c r="EF139" s="108"/>
      <c r="EG139" s="105"/>
      <c r="EH139" s="106"/>
      <c r="EI139" s="107"/>
      <c r="EJ139" s="108"/>
      <c r="EK139" s="163">
        <f t="shared" si="648"/>
        <v>6</v>
      </c>
      <c r="EL139" s="163">
        <f t="shared" si="649"/>
        <v>6</v>
      </c>
      <c r="EM139" s="77">
        <f t="shared" si="1344"/>
        <v>6</v>
      </c>
      <c r="EN139" s="78">
        <f>ER139</f>
        <v>6</v>
      </c>
      <c r="EO139" s="79"/>
      <c r="EP139" s="108"/>
      <c r="EQ139" s="105">
        <f t="shared" si="1345"/>
        <v>6</v>
      </c>
      <c r="ER139" s="106">
        <v>6</v>
      </c>
      <c r="ES139" s="107"/>
      <c r="ET139" s="108"/>
    </row>
    <row r="140" spans="1:150" ht="24" customHeight="1" x14ac:dyDescent="0.3">
      <c r="A140" s="46"/>
      <c r="B140" s="33" t="s">
        <v>17</v>
      </c>
      <c r="C140" s="47" t="s">
        <v>109</v>
      </c>
      <c r="D140" s="94"/>
      <c r="E140" s="148">
        <f t="shared" si="1310"/>
        <v>829.322</v>
      </c>
      <c r="F140" s="149">
        <f>SUM(F142:F149)</f>
        <v>819.97199999999998</v>
      </c>
      <c r="G140" s="150">
        <f>SUM(G142:G149)</f>
        <v>677.83</v>
      </c>
      <c r="H140" s="151">
        <f>SUM(H142:H149)</f>
        <v>9.35</v>
      </c>
      <c r="I140" s="148">
        <f t="shared" si="1311"/>
        <v>11.282</v>
      </c>
      <c r="J140" s="149">
        <f>SUM(J142:J149)</f>
        <v>11.282</v>
      </c>
      <c r="K140" s="150">
        <f>SUM(K143:K149)</f>
        <v>0</v>
      </c>
      <c r="L140" s="151">
        <f>SUM(L143:L149)</f>
        <v>0</v>
      </c>
      <c r="M140" s="148">
        <f t="shared" si="1312"/>
        <v>0</v>
      </c>
      <c r="N140" s="149">
        <f>SUM(N142:N149)</f>
        <v>0</v>
      </c>
      <c r="O140" s="150">
        <f>SUM(O142:O149)</f>
        <v>0</v>
      </c>
      <c r="P140" s="151">
        <f>SUM(P142:P149)</f>
        <v>0</v>
      </c>
      <c r="Q140" s="148">
        <f t="shared" si="1313"/>
        <v>0</v>
      </c>
      <c r="R140" s="149">
        <f>SUM(R142:R149)</f>
        <v>0</v>
      </c>
      <c r="S140" s="150">
        <f>SUM(S143:S149)</f>
        <v>0</v>
      </c>
      <c r="T140" s="151">
        <f>SUM(T143:T149)</f>
        <v>0</v>
      </c>
      <c r="U140" s="148">
        <f t="shared" si="1314"/>
        <v>829.322</v>
      </c>
      <c r="V140" s="149">
        <f>SUM(V142:V149)</f>
        <v>819.97199999999998</v>
      </c>
      <c r="W140" s="150">
        <f>SUM(W142:W149)</f>
        <v>677.83</v>
      </c>
      <c r="X140" s="151">
        <f>SUM(X142:X149)</f>
        <v>9.35</v>
      </c>
      <c r="Y140" s="148">
        <f t="shared" si="1315"/>
        <v>11.282</v>
      </c>
      <c r="Z140" s="149">
        <f>SUM(Z142:Z149)</f>
        <v>11.282</v>
      </c>
      <c r="AA140" s="150">
        <f>SUM(AA143:AA149)</f>
        <v>0</v>
      </c>
      <c r="AB140" s="151">
        <f>SUM(AB143:AB149)</f>
        <v>0</v>
      </c>
      <c r="AC140" s="148">
        <f t="shared" si="1316"/>
        <v>2.7800000000000002</v>
      </c>
      <c r="AD140" s="149">
        <f>SUM(AD142:AD149)</f>
        <v>2.7800000000000002</v>
      </c>
      <c r="AE140" s="150">
        <f>SUM(AE142:AE149)</f>
        <v>0</v>
      </c>
      <c r="AF140" s="151">
        <f>SUM(AF142:AF149)</f>
        <v>0</v>
      </c>
      <c r="AG140" s="148">
        <f t="shared" si="1317"/>
        <v>0</v>
      </c>
      <c r="AH140" s="149">
        <f>SUM(AH142:AH149)</f>
        <v>0</v>
      </c>
      <c r="AI140" s="150">
        <f>SUM(AI143:AI149)</f>
        <v>0</v>
      </c>
      <c r="AJ140" s="151">
        <f>SUM(AJ143:AJ149)</f>
        <v>0</v>
      </c>
      <c r="AK140" s="148">
        <f t="shared" si="1318"/>
        <v>832.10199999999998</v>
      </c>
      <c r="AL140" s="149">
        <f>SUM(AL142:AL149)</f>
        <v>822.75199999999995</v>
      </c>
      <c r="AM140" s="150">
        <f>SUM(AM142:AM149)</f>
        <v>677.83</v>
      </c>
      <c r="AN140" s="151">
        <f>SUM(AN142:AN149)</f>
        <v>9.35</v>
      </c>
      <c r="AO140" s="148">
        <f t="shared" si="1319"/>
        <v>11.282</v>
      </c>
      <c r="AP140" s="149">
        <f>SUM(AP142:AP149)</f>
        <v>11.282</v>
      </c>
      <c r="AQ140" s="150">
        <f>SUM(AQ143:AQ149)</f>
        <v>0</v>
      </c>
      <c r="AR140" s="151">
        <f>SUM(AR143:AR149)</f>
        <v>0</v>
      </c>
      <c r="AS140" s="148">
        <f t="shared" si="1320"/>
        <v>0.48</v>
      </c>
      <c r="AT140" s="149">
        <f>SUM(AT142:AT149)</f>
        <v>0.48</v>
      </c>
      <c r="AU140" s="150">
        <f>SUM(AU142:AU149)</f>
        <v>0.47299999999999998</v>
      </c>
      <c r="AV140" s="151">
        <f>SUM(AV142:AV149)</f>
        <v>0</v>
      </c>
      <c r="AW140" s="148">
        <f t="shared" si="1321"/>
        <v>0</v>
      </c>
      <c r="AX140" s="149">
        <f>SUM(AX142:AX149)</f>
        <v>0</v>
      </c>
      <c r="AY140" s="150">
        <f>SUM(AY143:AY149)</f>
        <v>0</v>
      </c>
      <c r="AZ140" s="151">
        <f>SUM(AZ143:AZ149)</f>
        <v>0</v>
      </c>
      <c r="BA140" s="148">
        <f t="shared" si="1322"/>
        <v>832.58199999999999</v>
      </c>
      <c r="BB140" s="149">
        <f>SUM(BB142:BB149)</f>
        <v>823.23199999999997</v>
      </c>
      <c r="BC140" s="150">
        <f>SUM(BC142:BC149)</f>
        <v>678.30300000000011</v>
      </c>
      <c r="BD140" s="151">
        <f>SUM(BD142:BD149)</f>
        <v>9.35</v>
      </c>
      <c r="BE140" s="148">
        <f t="shared" si="1323"/>
        <v>11.282</v>
      </c>
      <c r="BF140" s="149">
        <f>SUM(BF142:BF149)</f>
        <v>11.282</v>
      </c>
      <c r="BG140" s="150">
        <f>SUM(BG143:BG149)</f>
        <v>0</v>
      </c>
      <c r="BH140" s="151">
        <f>SUM(BH143:BH149)</f>
        <v>0</v>
      </c>
      <c r="BI140" s="148">
        <f t="shared" si="1324"/>
        <v>1.5799999999999998</v>
      </c>
      <c r="BJ140" s="149">
        <f>SUM(BJ142:BJ149)</f>
        <v>1.5799999999999998</v>
      </c>
      <c r="BK140" s="150">
        <f>SUM(BK142:BK149)</f>
        <v>0</v>
      </c>
      <c r="BL140" s="151">
        <f>SUM(BL142:BL149)</f>
        <v>0</v>
      </c>
      <c r="BM140" s="148">
        <f t="shared" si="1325"/>
        <v>0</v>
      </c>
      <c r="BN140" s="149">
        <f>SUM(BN142:BN149)</f>
        <v>0</v>
      </c>
      <c r="BO140" s="150">
        <f>SUM(BO143:BO149)</f>
        <v>0</v>
      </c>
      <c r="BP140" s="151">
        <f>SUM(BP143:BP149)</f>
        <v>0</v>
      </c>
      <c r="BQ140" s="148">
        <f t="shared" si="1326"/>
        <v>834.16199999999992</v>
      </c>
      <c r="BR140" s="149">
        <f>SUM(BR142:BR149)</f>
        <v>824.8119999999999</v>
      </c>
      <c r="BS140" s="150">
        <f>SUM(BS142:BS149)</f>
        <v>678.30300000000011</v>
      </c>
      <c r="BT140" s="151">
        <f>SUM(BT142:BT149)</f>
        <v>9.35</v>
      </c>
      <c r="BU140" s="148">
        <f t="shared" si="1327"/>
        <v>11.282</v>
      </c>
      <c r="BV140" s="149">
        <f>SUM(BV142:BV149)</f>
        <v>11.282</v>
      </c>
      <c r="BW140" s="150">
        <f>SUM(BW143:BW149)</f>
        <v>0</v>
      </c>
      <c r="BX140" s="151">
        <f>SUM(BX143:BX149)</f>
        <v>0</v>
      </c>
      <c r="BY140" s="175">
        <f t="shared" si="1328"/>
        <v>0</v>
      </c>
      <c r="BZ140" s="176">
        <f>SUM(BZ142:BZ149)</f>
        <v>0</v>
      </c>
      <c r="CA140" s="177">
        <f>SUM(CA142:CA149)</f>
        <v>-3.9420000000000002</v>
      </c>
      <c r="CB140" s="178">
        <f>SUM(CB142:CB149)</f>
        <v>0</v>
      </c>
      <c r="CC140" s="175">
        <f t="shared" si="1329"/>
        <v>0</v>
      </c>
      <c r="CD140" s="176">
        <f>SUM(CD142:CD149)</f>
        <v>0</v>
      </c>
      <c r="CE140" s="177">
        <f>SUM(CE143:CE149)</f>
        <v>0</v>
      </c>
      <c r="CF140" s="178">
        <f>SUM(CF143:CF149)</f>
        <v>0</v>
      </c>
      <c r="CG140" s="148">
        <f t="shared" si="1330"/>
        <v>834.16199999999992</v>
      </c>
      <c r="CH140" s="149">
        <f>SUM(CH142:CH149)</f>
        <v>824.8119999999999</v>
      </c>
      <c r="CI140" s="150">
        <f>SUM(CI142:CI149)</f>
        <v>674.3610000000001</v>
      </c>
      <c r="CJ140" s="151">
        <f>SUM(CJ142:CJ149)</f>
        <v>9.35</v>
      </c>
      <c r="CK140" s="148">
        <f t="shared" si="1331"/>
        <v>11.282</v>
      </c>
      <c r="CL140" s="149">
        <f>SUM(CL142:CL149)</f>
        <v>11.282</v>
      </c>
      <c r="CM140" s="150">
        <f>SUM(CM143:CM149)</f>
        <v>0</v>
      </c>
      <c r="CN140" s="151">
        <f>SUM(CN143:CN149)</f>
        <v>0</v>
      </c>
      <c r="CO140" s="175">
        <f t="shared" si="1332"/>
        <v>0.67200000000000004</v>
      </c>
      <c r="CP140" s="176">
        <f>SUM(CP142:CP149)</f>
        <v>0.67200000000000004</v>
      </c>
      <c r="CQ140" s="177">
        <f>SUM(CQ142:CQ149)</f>
        <v>0.60299999999999998</v>
      </c>
      <c r="CR140" s="178">
        <f>SUM(CR142:CR149)</f>
        <v>0</v>
      </c>
      <c r="CS140" s="175">
        <f t="shared" si="1333"/>
        <v>0</v>
      </c>
      <c r="CT140" s="176">
        <f>SUM(CT142:CT149)</f>
        <v>0</v>
      </c>
      <c r="CU140" s="177">
        <f>SUM(CU143:CU149)</f>
        <v>0</v>
      </c>
      <c r="CV140" s="178">
        <f>SUM(CV143:CV149)</f>
        <v>0</v>
      </c>
      <c r="CW140" s="148">
        <f t="shared" si="1334"/>
        <v>834.83399999999995</v>
      </c>
      <c r="CX140" s="149">
        <f>SUM(CX142:CX149)</f>
        <v>825.48399999999992</v>
      </c>
      <c r="CY140" s="150">
        <f>SUM(CY142:CY149)</f>
        <v>674.96400000000006</v>
      </c>
      <c r="CZ140" s="151">
        <f>SUM(CZ142:CZ149)</f>
        <v>9.35</v>
      </c>
      <c r="DA140" s="148">
        <f t="shared" si="1335"/>
        <v>11.282</v>
      </c>
      <c r="DB140" s="149">
        <f>SUM(DB142:DB149)</f>
        <v>11.282</v>
      </c>
      <c r="DC140" s="150">
        <f>SUM(DC143:DC149)</f>
        <v>0</v>
      </c>
      <c r="DD140" s="151">
        <f>SUM(DD143:DD149)</f>
        <v>0</v>
      </c>
      <c r="DE140" s="175">
        <f t="shared" si="1336"/>
        <v>2.0700000000000003</v>
      </c>
      <c r="DF140" s="176">
        <f>SUM(DF142:DF149)</f>
        <v>2.0700000000000003</v>
      </c>
      <c r="DG140" s="177">
        <f>SUM(DG142:DG149)</f>
        <v>-1.51</v>
      </c>
      <c r="DH140" s="178">
        <f>SUM(DH142:DH149)</f>
        <v>0</v>
      </c>
      <c r="DI140" s="175">
        <f t="shared" si="1337"/>
        <v>0</v>
      </c>
      <c r="DJ140" s="176">
        <f>SUM(DJ142:DJ149)</f>
        <v>0</v>
      </c>
      <c r="DK140" s="177">
        <f>SUM(DK143:DK149)</f>
        <v>0</v>
      </c>
      <c r="DL140" s="178">
        <f>SUM(DL143:DL149)</f>
        <v>0</v>
      </c>
      <c r="DM140" s="148">
        <f t="shared" si="1338"/>
        <v>836.904</v>
      </c>
      <c r="DN140" s="149">
        <f>SUM(DN142:DN149)</f>
        <v>827.55399999999997</v>
      </c>
      <c r="DO140" s="150">
        <f>SUM(DO142:DO149)</f>
        <v>673.45400000000006</v>
      </c>
      <c r="DP140" s="151">
        <f>SUM(DP142:DP149)</f>
        <v>9.35</v>
      </c>
      <c r="DQ140" s="148">
        <f t="shared" si="1339"/>
        <v>11.282</v>
      </c>
      <c r="DR140" s="149">
        <f>SUM(DR142:DR149)</f>
        <v>11.282</v>
      </c>
      <c r="DS140" s="150">
        <f>SUM(DS143:DS149)</f>
        <v>0</v>
      </c>
      <c r="DT140" s="151">
        <f>SUM(DT143:DT149)</f>
        <v>0</v>
      </c>
      <c r="DU140" s="175">
        <f t="shared" si="1340"/>
        <v>2.2760000000000002</v>
      </c>
      <c r="DV140" s="176">
        <f>SUM(DV142:DV149)</f>
        <v>3.6760000000000002</v>
      </c>
      <c r="DW140" s="177">
        <f>SUM(DW142:DW149)</f>
        <v>0</v>
      </c>
      <c r="DX140" s="178">
        <f>SUM(DX142:DX149)</f>
        <v>-1.4</v>
      </c>
      <c r="DY140" s="175">
        <f t="shared" si="1341"/>
        <v>0</v>
      </c>
      <c r="DZ140" s="176">
        <f>SUM(DZ142:DZ149)</f>
        <v>0</v>
      </c>
      <c r="EA140" s="177">
        <f>SUM(EA143:EA149)</f>
        <v>0</v>
      </c>
      <c r="EB140" s="178">
        <f>SUM(EB143:EB149)</f>
        <v>0</v>
      </c>
      <c r="EC140" s="148">
        <f t="shared" si="1342"/>
        <v>839.18000000000006</v>
      </c>
      <c r="ED140" s="149">
        <f>SUM(ED142:ED149)</f>
        <v>831.23</v>
      </c>
      <c r="EE140" s="150">
        <f>SUM(EE142:EE149)</f>
        <v>673.45400000000006</v>
      </c>
      <c r="EF140" s="151">
        <f>SUM(EF142:EF149)</f>
        <v>7.9500000000000011</v>
      </c>
      <c r="EG140" s="148">
        <f t="shared" si="1343"/>
        <v>11.282</v>
      </c>
      <c r="EH140" s="149">
        <f>SUM(EH142:EH149)</f>
        <v>11.282</v>
      </c>
      <c r="EI140" s="150">
        <f>SUM(EI143:EI149)</f>
        <v>0</v>
      </c>
      <c r="EJ140" s="151">
        <f>SUM(EJ143:EJ149)</f>
        <v>0</v>
      </c>
      <c r="EK140" s="155">
        <f t="shared" si="648"/>
        <v>38.956999999999994</v>
      </c>
      <c r="EL140" s="155">
        <f t="shared" si="649"/>
        <v>29.098999999999933</v>
      </c>
      <c r="EM140" s="148">
        <f>SUM(EN140,EP140)</f>
        <v>868.279</v>
      </c>
      <c r="EN140" s="149">
        <f>SUM(EN142:EN150)</f>
        <v>855.59900000000005</v>
      </c>
      <c r="EO140" s="150">
        <f>SUM(EO142:EO149)</f>
        <v>710.21199999999999</v>
      </c>
      <c r="EP140" s="151">
        <f>SUM(EP142:EP150)</f>
        <v>12.68</v>
      </c>
      <c r="EQ140" s="148">
        <f t="shared" si="1345"/>
        <v>1.498</v>
      </c>
      <c r="ER140" s="149">
        <f>SUM(ER142:ER149)</f>
        <v>1.018</v>
      </c>
      <c r="ES140" s="150">
        <f>SUM(ES143:ES149)</f>
        <v>0</v>
      </c>
      <c r="ET140" s="151">
        <f>SUM(ET143:ET149)</f>
        <v>0.48</v>
      </c>
    </row>
    <row r="141" spans="1:150" ht="17.399999999999999" customHeight="1" x14ac:dyDescent="0.3">
      <c r="A141" s="50"/>
      <c r="B141" s="6" t="s">
        <v>2</v>
      </c>
      <c r="C141" s="51"/>
      <c r="D141" s="94"/>
      <c r="E141" s="105"/>
      <c r="F141" s="106"/>
      <c r="G141" s="107"/>
      <c r="H141" s="108"/>
      <c r="I141" s="105"/>
      <c r="J141" s="106"/>
      <c r="K141" s="107"/>
      <c r="L141" s="108"/>
      <c r="M141" s="105"/>
      <c r="N141" s="106"/>
      <c r="O141" s="107"/>
      <c r="P141" s="108"/>
      <c r="Q141" s="105"/>
      <c r="R141" s="106"/>
      <c r="S141" s="107"/>
      <c r="T141" s="108"/>
      <c r="U141" s="105"/>
      <c r="V141" s="106"/>
      <c r="W141" s="107"/>
      <c r="X141" s="108"/>
      <c r="Y141" s="105"/>
      <c r="Z141" s="106"/>
      <c r="AA141" s="107"/>
      <c r="AB141" s="108"/>
      <c r="AC141" s="105"/>
      <c r="AD141" s="106"/>
      <c r="AE141" s="107"/>
      <c r="AF141" s="108"/>
      <c r="AG141" s="105"/>
      <c r="AH141" s="106"/>
      <c r="AI141" s="107"/>
      <c r="AJ141" s="108"/>
      <c r="AK141" s="105"/>
      <c r="AL141" s="106"/>
      <c r="AM141" s="107"/>
      <c r="AN141" s="108"/>
      <c r="AO141" s="105"/>
      <c r="AP141" s="106"/>
      <c r="AQ141" s="107"/>
      <c r="AR141" s="108"/>
      <c r="AS141" s="105"/>
      <c r="AT141" s="106"/>
      <c r="AU141" s="107"/>
      <c r="AV141" s="108"/>
      <c r="AW141" s="105"/>
      <c r="AX141" s="106"/>
      <c r="AY141" s="107"/>
      <c r="AZ141" s="108"/>
      <c r="BA141" s="105"/>
      <c r="BB141" s="106"/>
      <c r="BC141" s="107"/>
      <c r="BD141" s="108"/>
      <c r="BE141" s="105"/>
      <c r="BF141" s="106"/>
      <c r="BG141" s="107"/>
      <c r="BH141" s="108"/>
      <c r="BI141" s="105"/>
      <c r="BJ141" s="106"/>
      <c r="BK141" s="107"/>
      <c r="BL141" s="108"/>
      <c r="BM141" s="105"/>
      <c r="BN141" s="106"/>
      <c r="BO141" s="107"/>
      <c r="BP141" s="108"/>
      <c r="BQ141" s="105"/>
      <c r="BR141" s="106"/>
      <c r="BS141" s="107"/>
      <c r="BT141" s="108"/>
      <c r="BU141" s="105"/>
      <c r="BV141" s="106"/>
      <c r="BW141" s="107"/>
      <c r="BX141" s="108"/>
      <c r="BY141" s="164"/>
      <c r="BZ141" s="147"/>
      <c r="CA141" s="161"/>
      <c r="CB141" s="162"/>
      <c r="CC141" s="164"/>
      <c r="CD141" s="147"/>
      <c r="CE141" s="161"/>
      <c r="CF141" s="162"/>
      <c r="CG141" s="105"/>
      <c r="CH141" s="106"/>
      <c r="CI141" s="107"/>
      <c r="CJ141" s="108"/>
      <c r="CK141" s="105"/>
      <c r="CL141" s="106"/>
      <c r="CM141" s="107"/>
      <c r="CN141" s="108"/>
      <c r="CO141" s="164"/>
      <c r="CP141" s="147"/>
      <c r="CQ141" s="161"/>
      <c r="CR141" s="162"/>
      <c r="CS141" s="164"/>
      <c r="CT141" s="147"/>
      <c r="CU141" s="161"/>
      <c r="CV141" s="162"/>
      <c r="CW141" s="105"/>
      <c r="CX141" s="106"/>
      <c r="CY141" s="107"/>
      <c r="CZ141" s="108"/>
      <c r="DA141" s="105"/>
      <c r="DB141" s="106"/>
      <c r="DC141" s="107"/>
      <c r="DD141" s="108"/>
      <c r="DE141" s="164"/>
      <c r="DF141" s="147"/>
      <c r="DG141" s="161"/>
      <c r="DH141" s="162"/>
      <c r="DI141" s="164"/>
      <c r="DJ141" s="147"/>
      <c r="DK141" s="161"/>
      <c r="DL141" s="162"/>
      <c r="DM141" s="105"/>
      <c r="DN141" s="106"/>
      <c r="DO141" s="107"/>
      <c r="DP141" s="108"/>
      <c r="DQ141" s="105"/>
      <c r="DR141" s="106"/>
      <c r="DS141" s="107"/>
      <c r="DT141" s="108"/>
      <c r="DU141" s="164"/>
      <c r="DV141" s="147"/>
      <c r="DW141" s="161"/>
      <c r="DX141" s="162"/>
      <c r="DY141" s="164"/>
      <c r="DZ141" s="147"/>
      <c r="EA141" s="161"/>
      <c r="EB141" s="162"/>
      <c r="EC141" s="105"/>
      <c r="ED141" s="106"/>
      <c r="EE141" s="107"/>
      <c r="EF141" s="108"/>
      <c r="EG141" s="105"/>
      <c r="EH141" s="106"/>
      <c r="EI141" s="107"/>
      <c r="EJ141" s="108"/>
      <c r="EK141" s="153">
        <f t="shared" ref="EK141:EK204" si="1402">EM141-E141</f>
        <v>0</v>
      </c>
      <c r="EL141" s="153">
        <f t="shared" ref="EL141:EL204" si="1403">EM141-EC141</f>
        <v>0</v>
      </c>
      <c r="EM141" s="105"/>
      <c r="EN141" s="106"/>
      <c r="EO141" s="107"/>
      <c r="EP141" s="108"/>
      <c r="EQ141" s="105"/>
      <c r="ER141" s="106"/>
      <c r="ES141" s="107"/>
      <c r="ET141" s="108"/>
    </row>
    <row r="142" spans="1:150" ht="22.5" customHeight="1" x14ac:dyDescent="0.25">
      <c r="A142" s="138" t="s">
        <v>26</v>
      </c>
      <c r="B142" s="143" t="s">
        <v>42</v>
      </c>
      <c r="C142" s="48" t="s">
        <v>82</v>
      </c>
      <c r="D142" s="93" t="s">
        <v>37</v>
      </c>
      <c r="E142" s="105">
        <f>SUM(F142,H142)</f>
        <v>3.48</v>
      </c>
      <c r="F142" s="106">
        <f>0.4+3.08</f>
        <v>3.48</v>
      </c>
      <c r="G142" s="107">
        <v>3.03</v>
      </c>
      <c r="H142" s="108"/>
      <c r="I142" s="105"/>
      <c r="J142" s="106"/>
      <c r="K142" s="107"/>
      <c r="L142" s="108"/>
      <c r="M142" s="105">
        <f>SUM(N142,P142)</f>
        <v>0</v>
      </c>
      <c r="N142" s="106"/>
      <c r="O142" s="107"/>
      <c r="P142" s="108"/>
      <c r="Q142" s="105"/>
      <c r="R142" s="106"/>
      <c r="S142" s="107"/>
      <c r="T142" s="108"/>
      <c r="U142" s="105">
        <f t="shared" ref="U142" si="1404">SUM(V142,X142)</f>
        <v>3.48</v>
      </c>
      <c r="V142" s="106">
        <f t="shared" ref="V142" si="1405">F142+N142</f>
        <v>3.48</v>
      </c>
      <c r="W142" s="107">
        <f t="shared" ref="W142" si="1406">G142+O142</f>
        <v>3.03</v>
      </c>
      <c r="X142" s="108">
        <f t="shared" ref="X142" si="1407">H142+P142</f>
        <v>0</v>
      </c>
      <c r="Y142" s="105">
        <f t="shared" ref="Y142" si="1408">SUM(Z142,AB142)</f>
        <v>0</v>
      </c>
      <c r="Z142" s="106">
        <f t="shared" ref="Z142" si="1409">J142+R142</f>
        <v>0</v>
      </c>
      <c r="AA142" s="107">
        <f t="shared" ref="AA142" si="1410">K142+S142</f>
        <v>0</v>
      </c>
      <c r="AB142" s="108">
        <f t="shared" ref="AB142" si="1411">L142+T142</f>
        <v>0</v>
      </c>
      <c r="AC142" s="105">
        <f>SUM(AD142,AF142)</f>
        <v>2.6360000000000001</v>
      </c>
      <c r="AD142" s="106">
        <v>2.6360000000000001</v>
      </c>
      <c r="AE142" s="107"/>
      <c r="AF142" s="108"/>
      <c r="AG142" s="105"/>
      <c r="AH142" s="106"/>
      <c r="AI142" s="107"/>
      <c r="AJ142" s="108"/>
      <c r="AK142" s="105">
        <f t="shared" ref="AK142:AK149" si="1412">SUM(AL142,AN142)</f>
        <v>6.1159999999999997</v>
      </c>
      <c r="AL142" s="106">
        <f t="shared" ref="AL142:AL149" si="1413">V142+AD142</f>
        <v>6.1159999999999997</v>
      </c>
      <c r="AM142" s="107">
        <f t="shared" ref="AM142:AM149" si="1414">W142+AE142</f>
        <v>3.03</v>
      </c>
      <c r="AN142" s="108">
        <f t="shared" ref="AN142:AN149" si="1415">X142+AF142</f>
        <v>0</v>
      </c>
      <c r="AO142" s="105">
        <f t="shared" ref="AO142:AO149" si="1416">SUM(AP142,AR142)</f>
        <v>0</v>
      </c>
      <c r="AP142" s="106">
        <f t="shared" ref="AP142:AP149" si="1417">Z142+AH142</f>
        <v>0</v>
      </c>
      <c r="AQ142" s="107">
        <f t="shared" ref="AQ142:AQ149" si="1418">AA142+AI142</f>
        <v>0</v>
      </c>
      <c r="AR142" s="108">
        <f t="shared" ref="AR142:AR149" si="1419">AB142+AJ142</f>
        <v>0</v>
      </c>
      <c r="AS142" s="105">
        <f>SUM(AT142,AV142)</f>
        <v>0.48</v>
      </c>
      <c r="AT142" s="106">
        <v>0.48</v>
      </c>
      <c r="AU142" s="107">
        <v>0.47299999999999998</v>
      </c>
      <c r="AV142" s="108"/>
      <c r="AW142" s="105"/>
      <c r="AX142" s="106"/>
      <c r="AY142" s="107"/>
      <c r="AZ142" s="108"/>
      <c r="BA142" s="105">
        <f t="shared" ref="BA142:BA149" si="1420">SUM(BB142,BD142)</f>
        <v>6.5960000000000001</v>
      </c>
      <c r="BB142" s="106">
        <f t="shared" ref="BB142:BB149" si="1421">AL142+AT142</f>
        <v>6.5960000000000001</v>
      </c>
      <c r="BC142" s="107">
        <f t="shared" ref="BC142:BC149" si="1422">AM142+AU142</f>
        <v>3.5029999999999997</v>
      </c>
      <c r="BD142" s="108">
        <f t="shared" ref="BD142:BD149" si="1423">AN142+AV142</f>
        <v>0</v>
      </c>
      <c r="BE142" s="105">
        <f t="shared" ref="BE142:BE149" si="1424">SUM(BF142,BH142)</f>
        <v>0</v>
      </c>
      <c r="BF142" s="106">
        <f t="shared" ref="BF142:BF149" si="1425">AP142+AX142</f>
        <v>0</v>
      </c>
      <c r="BG142" s="107">
        <f t="shared" ref="BG142:BG149" si="1426">AQ142+AY142</f>
        <v>0</v>
      </c>
      <c r="BH142" s="108">
        <f t="shared" ref="BH142:BH149" si="1427">AR142+AZ142</f>
        <v>0</v>
      </c>
      <c r="BI142" s="105">
        <f>SUM(BJ142,BL142)</f>
        <v>0</v>
      </c>
      <c r="BJ142" s="106"/>
      <c r="BK142" s="107"/>
      <c r="BL142" s="108"/>
      <c r="BM142" s="105"/>
      <c r="BN142" s="106"/>
      <c r="BO142" s="107"/>
      <c r="BP142" s="108"/>
      <c r="BQ142" s="105">
        <f t="shared" ref="BQ142:BQ149" si="1428">SUM(BR142,BT142)</f>
        <v>6.5960000000000001</v>
      </c>
      <c r="BR142" s="106">
        <f t="shared" ref="BR142:BR149" si="1429">BB142+BJ142</f>
        <v>6.5960000000000001</v>
      </c>
      <c r="BS142" s="107">
        <f t="shared" ref="BS142:BS149" si="1430">BC142+BK142</f>
        <v>3.5029999999999997</v>
      </c>
      <c r="BT142" s="108">
        <f t="shared" ref="BT142:BT149" si="1431">BD142+BL142</f>
        <v>0</v>
      </c>
      <c r="BU142" s="105">
        <f t="shared" ref="BU142:BU149" si="1432">SUM(BV142,BX142)</f>
        <v>0</v>
      </c>
      <c r="BV142" s="106">
        <f t="shared" ref="BV142:BV149" si="1433">BF142+BN142</f>
        <v>0</v>
      </c>
      <c r="BW142" s="107">
        <f t="shared" ref="BW142:BW149" si="1434">BG142+BO142</f>
        <v>0</v>
      </c>
      <c r="BX142" s="108">
        <f t="shared" ref="BX142:BX149" si="1435">BH142+BP142</f>
        <v>0</v>
      </c>
      <c r="BY142" s="164">
        <f>SUM(BZ142,CB142)</f>
        <v>0</v>
      </c>
      <c r="BZ142" s="147"/>
      <c r="CA142" s="161"/>
      <c r="CB142" s="162"/>
      <c r="CC142" s="164"/>
      <c r="CD142" s="147"/>
      <c r="CE142" s="161"/>
      <c r="CF142" s="162"/>
      <c r="CG142" s="105">
        <f t="shared" ref="CG142:CG149" si="1436">SUM(CH142,CJ142)</f>
        <v>6.5960000000000001</v>
      </c>
      <c r="CH142" s="106">
        <f t="shared" ref="CH142:CH149" si="1437">BR142+BZ142</f>
        <v>6.5960000000000001</v>
      </c>
      <c r="CI142" s="107">
        <f t="shared" ref="CI142:CI149" si="1438">BS142+CA142</f>
        <v>3.5029999999999997</v>
      </c>
      <c r="CJ142" s="108">
        <f t="shared" ref="CJ142:CJ144" si="1439">BT142+CB142</f>
        <v>0</v>
      </c>
      <c r="CK142" s="105">
        <f t="shared" ref="CK142:CK144" si="1440">SUM(CL142,CN142)</f>
        <v>0</v>
      </c>
      <c r="CL142" s="106">
        <f t="shared" ref="CL142:CL144" si="1441">BV142+CD142</f>
        <v>0</v>
      </c>
      <c r="CM142" s="107">
        <f t="shared" ref="CM142:CM144" si="1442">BW142+CE142</f>
        <v>0</v>
      </c>
      <c r="CN142" s="108">
        <f t="shared" ref="CN142:CN144" si="1443">BX142+CF142</f>
        <v>0</v>
      </c>
      <c r="CO142" s="164">
        <f>SUM(CP142,CR142)</f>
        <v>0.67200000000000004</v>
      </c>
      <c r="CP142" s="147">
        <v>0.67200000000000004</v>
      </c>
      <c r="CQ142" s="161">
        <v>0.60299999999999998</v>
      </c>
      <c r="CR142" s="162"/>
      <c r="CS142" s="164"/>
      <c r="CT142" s="147"/>
      <c r="CU142" s="161"/>
      <c r="CV142" s="162"/>
      <c r="CW142" s="105">
        <f t="shared" ref="CW142:CW149" si="1444">SUM(CX142,CZ142)</f>
        <v>7.2679999999999998</v>
      </c>
      <c r="CX142" s="106">
        <f t="shared" ref="CX142:CX149" si="1445">CH142+CP142</f>
        <v>7.2679999999999998</v>
      </c>
      <c r="CY142" s="107">
        <f t="shared" ref="CY142:CY149" si="1446">CI142+CQ142</f>
        <v>4.1059999999999999</v>
      </c>
      <c r="CZ142" s="108">
        <f t="shared" ref="CZ142:CZ144" si="1447">CJ142+CR142</f>
        <v>0</v>
      </c>
      <c r="DA142" s="105">
        <f t="shared" ref="DA142:DA144" si="1448">SUM(DB142,DD142)</f>
        <v>0</v>
      </c>
      <c r="DB142" s="106">
        <f t="shared" ref="DB142:DB144" si="1449">CL142+CT142</f>
        <v>0</v>
      </c>
      <c r="DC142" s="107">
        <f t="shared" ref="DC142:DC144" si="1450">CM142+CU142</f>
        <v>0</v>
      </c>
      <c r="DD142" s="108">
        <f t="shared" ref="DD142:DD144" si="1451">CN142+CV142</f>
        <v>0</v>
      </c>
      <c r="DE142" s="164">
        <f>SUM(DF142,DH142)</f>
        <v>0</v>
      </c>
      <c r="DF142" s="147"/>
      <c r="DG142" s="161"/>
      <c r="DH142" s="162"/>
      <c r="DI142" s="164"/>
      <c r="DJ142" s="147"/>
      <c r="DK142" s="161"/>
      <c r="DL142" s="162"/>
      <c r="DM142" s="105">
        <f t="shared" ref="DM142:DM149" si="1452">SUM(DN142,DP142)</f>
        <v>7.2679999999999998</v>
      </c>
      <c r="DN142" s="106">
        <f t="shared" ref="DN142:DN149" si="1453">CX142+DF142</f>
        <v>7.2679999999999998</v>
      </c>
      <c r="DO142" s="107">
        <f t="shared" ref="DO142:DO149" si="1454">CY142+DG142</f>
        <v>4.1059999999999999</v>
      </c>
      <c r="DP142" s="108">
        <f t="shared" ref="DP142:DP144" si="1455">CZ142+DH142</f>
        <v>0</v>
      </c>
      <c r="DQ142" s="105">
        <f t="shared" ref="DQ142:DQ144" si="1456">SUM(DR142,DT142)</f>
        <v>0</v>
      </c>
      <c r="DR142" s="106">
        <f t="shared" ref="DR142:DR144" si="1457">DB142+DJ142</f>
        <v>0</v>
      </c>
      <c r="DS142" s="107">
        <f t="shared" ref="DS142:DS144" si="1458">DC142+DK142</f>
        <v>0</v>
      </c>
      <c r="DT142" s="108">
        <f t="shared" ref="DT142:DT144" si="1459">DD142+DL142</f>
        <v>0</v>
      </c>
      <c r="DU142" s="164">
        <f>SUM(DV142,DX142)</f>
        <v>0</v>
      </c>
      <c r="DV142" s="147"/>
      <c r="DW142" s="161"/>
      <c r="DX142" s="162"/>
      <c r="DY142" s="164"/>
      <c r="DZ142" s="147"/>
      <c r="EA142" s="161"/>
      <c r="EB142" s="162"/>
      <c r="EC142" s="105">
        <f t="shared" ref="EC142:EC149" si="1460">SUM(ED142,EF142)</f>
        <v>7.2679999999999998</v>
      </c>
      <c r="ED142" s="106">
        <f t="shared" ref="ED142:ED149" si="1461">DN142+DV142</f>
        <v>7.2679999999999998</v>
      </c>
      <c r="EE142" s="107">
        <f t="shared" ref="EE142:EE149" si="1462">DO142+DW142</f>
        <v>4.1059999999999999</v>
      </c>
      <c r="EF142" s="108">
        <f t="shared" ref="EF142:EF144" si="1463">DP142+DX142</f>
        <v>0</v>
      </c>
      <c r="EG142" s="105">
        <f t="shared" ref="EG142:EG144" si="1464">SUM(EH142,EJ142)</f>
        <v>0</v>
      </c>
      <c r="EH142" s="106">
        <f t="shared" ref="EH142:EH144" si="1465">DR142+DZ142</f>
        <v>0</v>
      </c>
      <c r="EI142" s="107">
        <f t="shared" ref="EI142:EI144" si="1466">DS142+EA142</f>
        <v>0</v>
      </c>
      <c r="EJ142" s="108">
        <f t="shared" ref="EJ142:EJ144" si="1467">DT142+EB142</f>
        <v>0</v>
      </c>
      <c r="EK142" s="154">
        <f t="shared" si="1402"/>
        <v>-2.149</v>
      </c>
      <c r="EL142" s="154">
        <f t="shared" si="1403"/>
        <v>-5.9369999999999994</v>
      </c>
      <c r="EM142" s="105">
        <f>SUM(EN142,EP142)</f>
        <v>1.331</v>
      </c>
      <c r="EN142" s="106">
        <v>1.331</v>
      </c>
      <c r="EO142" s="107">
        <v>1.3120000000000001</v>
      </c>
      <c r="EP142" s="108"/>
      <c r="EQ142" s="105"/>
      <c r="ER142" s="106"/>
      <c r="ES142" s="107"/>
      <c r="ET142" s="108"/>
    </row>
    <row r="143" spans="1:150" s="4" customFormat="1" ht="21.65" customHeight="1" x14ac:dyDescent="0.25">
      <c r="A143" s="704" t="s">
        <v>32</v>
      </c>
      <c r="B143" s="702" t="s">
        <v>120</v>
      </c>
      <c r="C143" s="48" t="s">
        <v>83</v>
      </c>
      <c r="D143" s="93" t="s">
        <v>37</v>
      </c>
      <c r="E143" s="105">
        <f>SUM(F143,H143)</f>
        <v>768.34</v>
      </c>
      <c r="F143" s="106">
        <f>759.84+1.8</f>
        <v>761.64</v>
      </c>
      <c r="G143" s="107">
        <f>660.97-1.87</f>
        <v>659.1</v>
      </c>
      <c r="H143" s="108">
        <v>6.7</v>
      </c>
      <c r="I143" s="105">
        <f>SUM(J143,L143)</f>
        <v>0</v>
      </c>
      <c r="J143" s="106"/>
      <c r="K143" s="107"/>
      <c r="L143" s="108"/>
      <c r="M143" s="105">
        <f>SUM(N143,P143)</f>
        <v>0</v>
      </c>
      <c r="N143" s="106"/>
      <c r="O143" s="107"/>
      <c r="P143" s="108"/>
      <c r="Q143" s="105">
        <f>SUM(R143,T143)</f>
        <v>0</v>
      </c>
      <c r="R143" s="106"/>
      <c r="S143" s="107"/>
      <c r="T143" s="108"/>
      <c r="U143" s="105">
        <f t="shared" ref="U143:U149" si="1468">SUM(V143,X143)</f>
        <v>768.34</v>
      </c>
      <c r="V143" s="106">
        <f t="shared" ref="V143:V149" si="1469">F143+N143</f>
        <v>761.64</v>
      </c>
      <c r="W143" s="107">
        <f t="shared" ref="W143:W149" si="1470">G143+O143</f>
        <v>659.1</v>
      </c>
      <c r="X143" s="108">
        <f t="shared" ref="X143:X149" si="1471">H143+P143</f>
        <v>6.7</v>
      </c>
      <c r="Y143" s="105">
        <f t="shared" ref="Y143:Y149" si="1472">SUM(Z143,AB143)</f>
        <v>0</v>
      </c>
      <c r="Z143" s="106">
        <f t="shared" ref="Z143:Z149" si="1473">J143+R143</f>
        <v>0</v>
      </c>
      <c r="AA143" s="107">
        <f t="shared" ref="AA143:AA149" si="1474">K143+S143</f>
        <v>0</v>
      </c>
      <c r="AB143" s="108">
        <f t="shared" ref="AB143:AB149" si="1475">L143+T143</f>
        <v>0</v>
      </c>
      <c r="AC143" s="105">
        <f>SUM(AD143,AF143)</f>
        <v>0</v>
      </c>
      <c r="AD143" s="106"/>
      <c r="AE143" s="107"/>
      <c r="AF143" s="108"/>
      <c r="AG143" s="105">
        <f>SUM(AH143,AJ143)</f>
        <v>0</v>
      </c>
      <c r="AH143" s="106"/>
      <c r="AI143" s="107"/>
      <c r="AJ143" s="108"/>
      <c r="AK143" s="105">
        <f t="shared" si="1412"/>
        <v>768.34</v>
      </c>
      <c r="AL143" s="106">
        <f t="shared" si="1413"/>
        <v>761.64</v>
      </c>
      <c r="AM143" s="107">
        <f t="shared" si="1414"/>
        <v>659.1</v>
      </c>
      <c r="AN143" s="108">
        <f t="shared" si="1415"/>
        <v>6.7</v>
      </c>
      <c r="AO143" s="105">
        <f t="shared" si="1416"/>
        <v>0</v>
      </c>
      <c r="AP143" s="106">
        <f t="shared" si="1417"/>
        <v>0</v>
      </c>
      <c r="AQ143" s="107">
        <f t="shared" si="1418"/>
        <v>0</v>
      </c>
      <c r="AR143" s="108">
        <f t="shared" si="1419"/>
        <v>0</v>
      </c>
      <c r="AS143" s="105">
        <f>SUM(AT143,AV143)</f>
        <v>0</v>
      </c>
      <c r="AT143" s="106"/>
      <c r="AU143" s="107"/>
      <c r="AV143" s="108"/>
      <c r="AW143" s="105">
        <f>SUM(AX143,AZ143)</f>
        <v>0</v>
      </c>
      <c r="AX143" s="106"/>
      <c r="AY143" s="107"/>
      <c r="AZ143" s="108"/>
      <c r="BA143" s="105">
        <f t="shared" si="1420"/>
        <v>768.34</v>
      </c>
      <c r="BB143" s="106">
        <f t="shared" si="1421"/>
        <v>761.64</v>
      </c>
      <c r="BC143" s="107">
        <f t="shared" si="1422"/>
        <v>659.1</v>
      </c>
      <c r="BD143" s="108">
        <f t="shared" si="1423"/>
        <v>6.7</v>
      </c>
      <c r="BE143" s="105">
        <f t="shared" si="1424"/>
        <v>0</v>
      </c>
      <c r="BF143" s="106">
        <f t="shared" si="1425"/>
        <v>0</v>
      </c>
      <c r="BG143" s="107">
        <f t="shared" si="1426"/>
        <v>0</v>
      </c>
      <c r="BH143" s="108">
        <f t="shared" si="1427"/>
        <v>0</v>
      </c>
      <c r="BI143" s="105">
        <f>SUM(BJ143,BL143)</f>
        <v>0</v>
      </c>
      <c r="BJ143" s="106"/>
      <c r="BK143" s="107"/>
      <c r="BL143" s="108"/>
      <c r="BM143" s="105">
        <f>SUM(BN143,BP143)</f>
        <v>0</v>
      </c>
      <c r="BN143" s="106"/>
      <c r="BO143" s="107"/>
      <c r="BP143" s="108"/>
      <c r="BQ143" s="105">
        <f t="shared" si="1428"/>
        <v>768.34</v>
      </c>
      <c r="BR143" s="106">
        <f t="shared" si="1429"/>
        <v>761.64</v>
      </c>
      <c r="BS143" s="107">
        <f t="shared" si="1430"/>
        <v>659.1</v>
      </c>
      <c r="BT143" s="108">
        <f t="shared" si="1431"/>
        <v>6.7</v>
      </c>
      <c r="BU143" s="105">
        <f t="shared" si="1432"/>
        <v>0</v>
      </c>
      <c r="BV143" s="106">
        <f t="shared" si="1433"/>
        <v>0</v>
      </c>
      <c r="BW143" s="107">
        <f t="shared" si="1434"/>
        <v>0</v>
      </c>
      <c r="BX143" s="108">
        <f t="shared" si="1435"/>
        <v>0</v>
      </c>
      <c r="BY143" s="164">
        <f>SUM(BZ143,CB143)</f>
        <v>0</v>
      </c>
      <c r="BZ143" s="147"/>
      <c r="CA143" s="161">
        <v>-3.9420000000000002</v>
      </c>
      <c r="CB143" s="162"/>
      <c r="CC143" s="164">
        <f>SUM(CD143,CF143)</f>
        <v>0</v>
      </c>
      <c r="CD143" s="147"/>
      <c r="CE143" s="161"/>
      <c r="CF143" s="162"/>
      <c r="CG143" s="105">
        <f t="shared" si="1436"/>
        <v>768.34</v>
      </c>
      <c r="CH143" s="106">
        <f t="shared" si="1437"/>
        <v>761.64</v>
      </c>
      <c r="CI143" s="107">
        <f t="shared" si="1438"/>
        <v>655.15800000000002</v>
      </c>
      <c r="CJ143" s="108">
        <f t="shared" si="1439"/>
        <v>6.7</v>
      </c>
      <c r="CK143" s="105">
        <f t="shared" si="1440"/>
        <v>0</v>
      </c>
      <c r="CL143" s="106">
        <f t="shared" si="1441"/>
        <v>0</v>
      </c>
      <c r="CM143" s="107">
        <f t="shared" si="1442"/>
        <v>0</v>
      </c>
      <c r="CN143" s="108">
        <f t="shared" si="1443"/>
        <v>0</v>
      </c>
      <c r="CO143" s="164">
        <f>SUM(CP143,CR143)</f>
        <v>0</v>
      </c>
      <c r="CP143" s="147"/>
      <c r="CQ143" s="161"/>
      <c r="CR143" s="162"/>
      <c r="CS143" s="164">
        <f>SUM(CT143,CV143)</f>
        <v>0</v>
      </c>
      <c r="CT143" s="147"/>
      <c r="CU143" s="161"/>
      <c r="CV143" s="162"/>
      <c r="CW143" s="105">
        <f t="shared" si="1444"/>
        <v>768.34</v>
      </c>
      <c r="CX143" s="106">
        <f t="shared" si="1445"/>
        <v>761.64</v>
      </c>
      <c r="CY143" s="107">
        <f t="shared" si="1446"/>
        <v>655.15800000000002</v>
      </c>
      <c r="CZ143" s="108">
        <f t="shared" si="1447"/>
        <v>6.7</v>
      </c>
      <c r="DA143" s="105">
        <f t="shared" si="1448"/>
        <v>0</v>
      </c>
      <c r="DB143" s="106">
        <f t="shared" si="1449"/>
        <v>0</v>
      </c>
      <c r="DC143" s="107">
        <f t="shared" si="1450"/>
        <v>0</v>
      </c>
      <c r="DD143" s="108">
        <f t="shared" si="1451"/>
        <v>0</v>
      </c>
      <c r="DE143" s="164">
        <f>SUM(DF143,DH143)</f>
        <v>-1.53</v>
      </c>
      <c r="DF143" s="147">
        <v>-1.53</v>
      </c>
      <c r="DG143" s="161">
        <v>-1.51</v>
      </c>
      <c r="DH143" s="162"/>
      <c r="DI143" s="164">
        <f>SUM(DJ143,DL143)</f>
        <v>0</v>
      </c>
      <c r="DJ143" s="147"/>
      <c r="DK143" s="161"/>
      <c r="DL143" s="162"/>
      <c r="DM143" s="105">
        <f t="shared" si="1452"/>
        <v>766.81000000000006</v>
      </c>
      <c r="DN143" s="106">
        <f t="shared" si="1453"/>
        <v>760.11</v>
      </c>
      <c r="DO143" s="107">
        <f t="shared" si="1454"/>
        <v>653.64800000000002</v>
      </c>
      <c r="DP143" s="108">
        <f t="shared" si="1455"/>
        <v>6.7</v>
      </c>
      <c r="DQ143" s="105">
        <f t="shared" si="1456"/>
        <v>0</v>
      </c>
      <c r="DR143" s="106">
        <f t="shared" si="1457"/>
        <v>0</v>
      </c>
      <c r="DS143" s="107">
        <f t="shared" si="1458"/>
        <v>0</v>
      </c>
      <c r="DT143" s="108">
        <f t="shared" si="1459"/>
        <v>0</v>
      </c>
      <c r="DU143" s="164">
        <f>SUM(DV143,DX143)</f>
        <v>0</v>
      </c>
      <c r="DV143" s="147">
        <v>1.4</v>
      </c>
      <c r="DW143" s="161"/>
      <c r="DX143" s="162">
        <v>-1.4</v>
      </c>
      <c r="DY143" s="164">
        <f>SUM(DZ143,EB143)</f>
        <v>0</v>
      </c>
      <c r="DZ143" s="147"/>
      <c r="EA143" s="161"/>
      <c r="EB143" s="162"/>
      <c r="EC143" s="105">
        <f t="shared" si="1460"/>
        <v>766.81</v>
      </c>
      <c r="ED143" s="106">
        <f t="shared" si="1461"/>
        <v>761.51</v>
      </c>
      <c r="EE143" s="107">
        <f t="shared" si="1462"/>
        <v>653.64800000000002</v>
      </c>
      <c r="EF143" s="108">
        <f t="shared" si="1463"/>
        <v>5.3000000000000007</v>
      </c>
      <c r="EG143" s="105">
        <f t="shared" si="1464"/>
        <v>0</v>
      </c>
      <c r="EH143" s="106">
        <f t="shared" si="1465"/>
        <v>0</v>
      </c>
      <c r="EI143" s="107">
        <f t="shared" si="1466"/>
        <v>0</v>
      </c>
      <c r="EJ143" s="108">
        <f t="shared" si="1467"/>
        <v>0</v>
      </c>
      <c r="EK143" s="163">
        <f t="shared" si="1402"/>
        <v>39.519999999999982</v>
      </c>
      <c r="EL143" s="163">
        <f t="shared" si="1403"/>
        <v>41.050000000000068</v>
      </c>
      <c r="EM143" s="105">
        <f>SUM(EN143,EP143)</f>
        <v>807.86</v>
      </c>
      <c r="EN143" s="106">
        <f>794.76+1.8+0.7</f>
        <v>797.26</v>
      </c>
      <c r="EO143" s="107">
        <f>695.4-2.5</f>
        <v>692.9</v>
      </c>
      <c r="EP143" s="108">
        <f>8.6+2</f>
        <v>10.6</v>
      </c>
      <c r="EQ143" s="105">
        <f>SUM(ER143,ET143)</f>
        <v>0</v>
      </c>
      <c r="ER143" s="106"/>
      <c r="ES143" s="107"/>
      <c r="ET143" s="108"/>
    </row>
    <row r="144" spans="1:150" s="4" customFormat="1" ht="21.65" customHeight="1" x14ac:dyDescent="0.25">
      <c r="A144" s="705"/>
      <c r="B144" s="703"/>
      <c r="C144" s="48" t="s">
        <v>84</v>
      </c>
      <c r="D144" s="139" t="s">
        <v>52</v>
      </c>
      <c r="E144" s="105">
        <f>SUM(F144,H144)</f>
        <v>47.381</v>
      </c>
      <c r="F144" s="106">
        <f>15.7+0.23+17.42+J144+10.1</f>
        <v>44.731000000000002</v>
      </c>
      <c r="G144" s="107">
        <v>15.7</v>
      </c>
      <c r="H144" s="108">
        <v>2.65</v>
      </c>
      <c r="I144" s="105">
        <f>SUM(J144,L144)</f>
        <v>1.2809999999999999</v>
      </c>
      <c r="J144" s="106">
        <v>1.2809999999999999</v>
      </c>
      <c r="K144" s="107"/>
      <c r="L144" s="108"/>
      <c r="M144" s="105">
        <f>SUM(N144,P144)</f>
        <v>0</v>
      </c>
      <c r="N144" s="106"/>
      <c r="O144" s="107"/>
      <c r="P144" s="108"/>
      <c r="Q144" s="105">
        <f>SUM(R144,T144)</f>
        <v>0</v>
      </c>
      <c r="R144" s="106"/>
      <c r="S144" s="107"/>
      <c r="T144" s="108"/>
      <c r="U144" s="105">
        <f t="shared" si="1468"/>
        <v>47.381</v>
      </c>
      <c r="V144" s="106">
        <f t="shared" si="1469"/>
        <v>44.731000000000002</v>
      </c>
      <c r="W144" s="107">
        <f t="shared" si="1470"/>
        <v>15.7</v>
      </c>
      <c r="X144" s="108">
        <f t="shared" si="1471"/>
        <v>2.65</v>
      </c>
      <c r="Y144" s="105">
        <f t="shared" si="1472"/>
        <v>1.2809999999999999</v>
      </c>
      <c r="Z144" s="106">
        <f t="shared" si="1473"/>
        <v>1.2809999999999999</v>
      </c>
      <c r="AA144" s="107">
        <f t="shared" si="1474"/>
        <v>0</v>
      </c>
      <c r="AB144" s="108">
        <f t="shared" si="1475"/>
        <v>0</v>
      </c>
      <c r="AC144" s="105">
        <f>SUM(AD144,AF144)</f>
        <v>0</v>
      </c>
      <c r="AD144" s="106"/>
      <c r="AE144" s="107"/>
      <c r="AF144" s="108"/>
      <c r="AG144" s="105">
        <f>SUM(AH144,AJ144)</f>
        <v>0</v>
      </c>
      <c r="AH144" s="106"/>
      <c r="AI144" s="107"/>
      <c r="AJ144" s="108"/>
      <c r="AK144" s="105">
        <f t="shared" si="1412"/>
        <v>47.381</v>
      </c>
      <c r="AL144" s="106">
        <f t="shared" si="1413"/>
        <v>44.731000000000002</v>
      </c>
      <c r="AM144" s="107">
        <f t="shared" si="1414"/>
        <v>15.7</v>
      </c>
      <c r="AN144" s="108">
        <f t="shared" si="1415"/>
        <v>2.65</v>
      </c>
      <c r="AO144" s="105">
        <f t="shared" si="1416"/>
        <v>1.2809999999999999</v>
      </c>
      <c r="AP144" s="106">
        <f t="shared" si="1417"/>
        <v>1.2809999999999999</v>
      </c>
      <c r="AQ144" s="107">
        <f t="shared" si="1418"/>
        <v>0</v>
      </c>
      <c r="AR144" s="108">
        <f t="shared" si="1419"/>
        <v>0</v>
      </c>
      <c r="AS144" s="105">
        <f>SUM(AT144,AV144)</f>
        <v>0</v>
      </c>
      <c r="AT144" s="106"/>
      <c r="AU144" s="107"/>
      <c r="AV144" s="108"/>
      <c r="AW144" s="105">
        <f>SUM(AX144,AZ144)</f>
        <v>0</v>
      </c>
      <c r="AX144" s="106"/>
      <c r="AY144" s="107"/>
      <c r="AZ144" s="108"/>
      <c r="BA144" s="105">
        <f t="shared" si="1420"/>
        <v>47.381</v>
      </c>
      <c r="BB144" s="106">
        <f t="shared" si="1421"/>
        <v>44.731000000000002</v>
      </c>
      <c r="BC144" s="107">
        <f t="shared" si="1422"/>
        <v>15.7</v>
      </c>
      <c r="BD144" s="108">
        <f t="shared" si="1423"/>
        <v>2.65</v>
      </c>
      <c r="BE144" s="105">
        <f t="shared" si="1424"/>
        <v>1.2809999999999999</v>
      </c>
      <c r="BF144" s="106">
        <f t="shared" si="1425"/>
        <v>1.2809999999999999</v>
      </c>
      <c r="BG144" s="107">
        <f t="shared" si="1426"/>
        <v>0</v>
      </c>
      <c r="BH144" s="108">
        <f t="shared" si="1427"/>
        <v>0</v>
      </c>
      <c r="BI144" s="105">
        <f>SUM(BJ144,BL144)</f>
        <v>0</v>
      </c>
      <c r="BJ144" s="106"/>
      <c r="BK144" s="107"/>
      <c r="BL144" s="108"/>
      <c r="BM144" s="105">
        <f>SUM(BN144,BP144)</f>
        <v>0</v>
      </c>
      <c r="BN144" s="106"/>
      <c r="BO144" s="107"/>
      <c r="BP144" s="108"/>
      <c r="BQ144" s="105">
        <f t="shared" si="1428"/>
        <v>47.381</v>
      </c>
      <c r="BR144" s="106">
        <f t="shared" si="1429"/>
        <v>44.731000000000002</v>
      </c>
      <c r="BS144" s="107">
        <f t="shared" si="1430"/>
        <v>15.7</v>
      </c>
      <c r="BT144" s="108">
        <f t="shared" si="1431"/>
        <v>2.65</v>
      </c>
      <c r="BU144" s="105">
        <f t="shared" si="1432"/>
        <v>1.2809999999999999</v>
      </c>
      <c r="BV144" s="106">
        <f t="shared" si="1433"/>
        <v>1.2809999999999999</v>
      </c>
      <c r="BW144" s="107">
        <f t="shared" si="1434"/>
        <v>0</v>
      </c>
      <c r="BX144" s="108">
        <f t="shared" si="1435"/>
        <v>0</v>
      </c>
      <c r="BY144" s="164">
        <f>SUM(BZ144,CB144)</f>
        <v>0</v>
      </c>
      <c r="BZ144" s="147"/>
      <c r="CA144" s="161"/>
      <c r="CB144" s="162"/>
      <c r="CC144" s="164">
        <f>SUM(CD144,CF144)</f>
        <v>0</v>
      </c>
      <c r="CD144" s="147"/>
      <c r="CE144" s="161"/>
      <c r="CF144" s="162"/>
      <c r="CG144" s="105">
        <f t="shared" si="1436"/>
        <v>47.381</v>
      </c>
      <c r="CH144" s="106">
        <f t="shared" si="1437"/>
        <v>44.731000000000002</v>
      </c>
      <c r="CI144" s="107">
        <f t="shared" si="1438"/>
        <v>15.7</v>
      </c>
      <c r="CJ144" s="108">
        <f t="shared" si="1439"/>
        <v>2.65</v>
      </c>
      <c r="CK144" s="105">
        <f t="shared" si="1440"/>
        <v>1.2809999999999999</v>
      </c>
      <c r="CL144" s="106">
        <f t="shared" si="1441"/>
        <v>1.2809999999999999</v>
      </c>
      <c r="CM144" s="107">
        <f t="shared" si="1442"/>
        <v>0</v>
      </c>
      <c r="CN144" s="108">
        <f t="shared" si="1443"/>
        <v>0</v>
      </c>
      <c r="CO144" s="164">
        <f>SUM(CP144,CR144)</f>
        <v>0</v>
      </c>
      <c r="CP144" s="147"/>
      <c r="CQ144" s="161"/>
      <c r="CR144" s="162"/>
      <c r="CS144" s="164">
        <f>SUM(CT144,CV144)</f>
        <v>0</v>
      </c>
      <c r="CT144" s="147"/>
      <c r="CU144" s="161"/>
      <c r="CV144" s="162"/>
      <c r="CW144" s="105">
        <f t="shared" si="1444"/>
        <v>47.381</v>
      </c>
      <c r="CX144" s="106">
        <f t="shared" si="1445"/>
        <v>44.731000000000002</v>
      </c>
      <c r="CY144" s="107">
        <f t="shared" si="1446"/>
        <v>15.7</v>
      </c>
      <c r="CZ144" s="108">
        <f t="shared" si="1447"/>
        <v>2.65</v>
      </c>
      <c r="DA144" s="105">
        <f t="shared" si="1448"/>
        <v>1.2809999999999999</v>
      </c>
      <c r="DB144" s="106">
        <f t="shared" si="1449"/>
        <v>1.2809999999999999</v>
      </c>
      <c r="DC144" s="107">
        <f t="shared" si="1450"/>
        <v>0</v>
      </c>
      <c r="DD144" s="108">
        <f t="shared" si="1451"/>
        <v>0</v>
      </c>
      <c r="DE144" s="164">
        <f>SUM(DF144,DH144)</f>
        <v>3.6</v>
      </c>
      <c r="DF144" s="147">
        <f>1.6+2</f>
        <v>3.6</v>
      </c>
      <c r="DG144" s="161"/>
      <c r="DH144" s="162"/>
      <c r="DI144" s="164">
        <f>SUM(DJ144,DL144)</f>
        <v>0</v>
      </c>
      <c r="DJ144" s="147"/>
      <c r="DK144" s="161"/>
      <c r="DL144" s="162"/>
      <c r="DM144" s="105">
        <f t="shared" si="1452"/>
        <v>50.981000000000002</v>
      </c>
      <c r="DN144" s="106">
        <f t="shared" si="1453"/>
        <v>48.331000000000003</v>
      </c>
      <c r="DO144" s="107">
        <f t="shared" si="1454"/>
        <v>15.7</v>
      </c>
      <c r="DP144" s="108">
        <f t="shared" si="1455"/>
        <v>2.65</v>
      </c>
      <c r="DQ144" s="105">
        <f t="shared" si="1456"/>
        <v>1.2809999999999999</v>
      </c>
      <c r="DR144" s="106">
        <f t="shared" si="1457"/>
        <v>1.2809999999999999</v>
      </c>
      <c r="DS144" s="107">
        <f t="shared" si="1458"/>
        <v>0</v>
      </c>
      <c r="DT144" s="108">
        <f t="shared" si="1459"/>
        <v>0</v>
      </c>
      <c r="DU144" s="164">
        <f>SUM(DV144,DX144)</f>
        <v>2</v>
      </c>
      <c r="DV144" s="147">
        <v>2</v>
      </c>
      <c r="DW144" s="161"/>
      <c r="DX144" s="162"/>
      <c r="DY144" s="164">
        <f>SUM(DZ144,EB144)</f>
        <v>0</v>
      </c>
      <c r="DZ144" s="147"/>
      <c r="EA144" s="161"/>
      <c r="EB144" s="162"/>
      <c r="EC144" s="105">
        <f t="shared" si="1460"/>
        <v>52.981000000000002</v>
      </c>
      <c r="ED144" s="106">
        <f t="shared" si="1461"/>
        <v>50.331000000000003</v>
      </c>
      <c r="EE144" s="107">
        <f t="shared" si="1462"/>
        <v>15.7</v>
      </c>
      <c r="EF144" s="108">
        <f t="shared" si="1463"/>
        <v>2.65</v>
      </c>
      <c r="EG144" s="105">
        <f t="shared" si="1464"/>
        <v>1.2809999999999999</v>
      </c>
      <c r="EH144" s="106">
        <f t="shared" si="1465"/>
        <v>1.2809999999999999</v>
      </c>
      <c r="EI144" s="107">
        <f t="shared" si="1466"/>
        <v>0</v>
      </c>
      <c r="EJ144" s="108">
        <f t="shared" si="1467"/>
        <v>0</v>
      </c>
      <c r="EK144" s="163">
        <f t="shared" si="1402"/>
        <v>5.4170000000000016</v>
      </c>
      <c r="EL144" s="154">
        <f t="shared" si="1403"/>
        <v>-0.18299999999999983</v>
      </c>
      <c r="EM144" s="105">
        <f>SUM(EN144,EP144)</f>
        <v>52.798000000000002</v>
      </c>
      <c r="EN144" s="106">
        <f>ER144+49.7</f>
        <v>50.718000000000004</v>
      </c>
      <c r="EO144" s="107">
        <v>16</v>
      </c>
      <c r="EP144" s="108">
        <f>ET144+1.6</f>
        <v>2.08</v>
      </c>
      <c r="EQ144" s="105">
        <f>SUM(ER144,ET144)</f>
        <v>1.498</v>
      </c>
      <c r="ER144" s="106">
        <v>1.018</v>
      </c>
      <c r="ES144" s="107"/>
      <c r="ET144" s="108">
        <v>0.48</v>
      </c>
    </row>
    <row r="145" spans="1:150" s="4" customFormat="1" ht="29.25" customHeight="1" x14ac:dyDescent="0.25">
      <c r="A145" s="139" t="s">
        <v>31</v>
      </c>
      <c r="B145" s="179" t="s">
        <v>44</v>
      </c>
      <c r="C145" s="48" t="s">
        <v>85</v>
      </c>
      <c r="D145" s="139" t="s">
        <v>37</v>
      </c>
      <c r="E145" s="105"/>
      <c r="F145" s="106"/>
      <c r="G145" s="107"/>
      <c r="H145" s="108"/>
      <c r="I145" s="105"/>
      <c r="J145" s="106"/>
      <c r="K145" s="107"/>
      <c r="L145" s="108"/>
      <c r="M145" s="105"/>
      <c r="N145" s="106"/>
      <c r="O145" s="107"/>
      <c r="P145" s="108"/>
      <c r="Q145" s="105"/>
      <c r="R145" s="106"/>
      <c r="S145" s="107"/>
      <c r="T145" s="108"/>
      <c r="U145" s="105"/>
      <c r="V145" s="106"/>
      <c r="W145" s="107"/>
      <c r="X145" s="108"/>
      <c r="Y145" s="105"/>
      <c r="Z145" s="106"/>
      <c r="AA145" s="107"/>
      <c r="AB145" s="108"/>
      <c r="AC145" s="105"/>
      <c r="AD145" s="106"/>
      <c r="AE145" s="107"/>
      <c r="AF145" s="108"/>
      <c r="AG145" s="105"/>
      <c r="AH145" s="106"/>
      <c r="AI145" s="107"/>
      <c r="AJ145" s="108"/>
      <c r="AK145" s="105"/>
      <c r="AL145" s="106"/>
      <c r="AM145" s="107"/>
      <c r="AN145" s="108"/>
      <c r="AO145" s="105"/>
      <c r="AP145" s="106"/>
      <c r="AQ145" s="107"/>
      <c r="AR145" s="108"/>
      <c r="AS145" s="105"/>
      <c r="AT145" s="106"/>
      <c r="AU145" s="107"/>
      <c r="AV145" s="108"/>
      <c r="AW145" s="105"/>
      <c r="AX145" s="106"/>
      <c r="AY145" s="107"/>
      <c r="AZ145" s="108"/>
      <c r="BA145" s="105"/>
      <c r="BB145" s="106"/>
      <c r="BC145" s="107"/>
      <c r="BD145" s="108"/>
      <c r="BE145" s="105"/>
      <c r="BF145" s="106"/>
      <c r="BG145" s="107"/>
      <c r="BH145" s="108"/>
      <c r="BI145" s="105">
        <f t="shared" ref="BI145:BI146" si="1476">SUM(BJ145,BL145)</f>
        <v>1.4</v>
      </c>
      <c r="BJ145" s="106">
        <v>1.4</v>
      </c>
      <c r="BK145" s="107"/>
      <c r="BL145" s="108"/>
      <c r="BM145" s="105"/>
      <c r="BN145" s="106"/>
      <c r="BO145" s="107"/>
      <c r="BP145" s="108"/>
      <c r="BQ145" s="105">
        <f t="shared" ref="BQ145:BQ147" si="1477">SUM(BR145,BT145)</f>
        <v>1.4</v>
      </c>
      <c r="BR145" s="106">
        <f t="shared" ref="BR145:BR147" si="1478">BB145+BJ145</f>
        <v>1.4</v>
      </c>
      <c r="BS145" s="107">
        <f t="shared" ref="BS145:BS147" si="1479">BC145+BK145</f>
        <v>0</v>
      </c>
      <c r="BT145" s="108"/>
      <c r="BU145" s="105"/>
      <c r="BV145" s="106"/>
      <c r="BW145" s="107"/>
      <c r="BX145" s="108"/>
      <c r="BY145" s="164">
        <f t="shared" ref="BY145:BY147" si="1480">SUM(BZ145,CB145)</f>
        <v>0</v>
      </c>
      <c r="BZ145" s="147"/>
      <c r="CA145" s="161"/>
      <c r="CB145" s="162"/>
      <c r="CC145" s="164"/>
      <c r="CD145" s="147"/>
      <c r="CE145" s="161"/>
      <c r="CF145" s="162"/>
      <c r="CG145" s="105">
        <f t="shared" si="1436"/>
        <v>1.4</v>
      </c>
      <c r="CH145" s="106">
        <f t="shared" si="1437"/>
        <v>1.4</v>
      </c>
      <c r="CI145" s="107">
        <f t="shared" si="1438"/>
        <v>0</v>
      </c>
      <c r="CJ145" s="108"/>
      <c r="CK145" s="105"/>
      <c r="CL145" s="106"/>
      <c r="CM145" s="107"/>
      <c r="CN145" s="108"/>
      <c r="CO145" s="164">
        <f t="shared" ref="CO145:CO147" si="1481">SUM(CP145,CR145)</f>
        <v>0</v>
      </c>
      <c r="CP145" s="147"/>
      <c r="CQ145" s="161"/>
      <c r="CR145" s="162"/>
      <c r="CS145" s="164"/>
      <c r="CT145" s="147"/>
      <c r="CU145" s="161"/>
      <c r="CV145" s="162"/>
      <c r="CW145" s="105">
        <f t="shared" si="1444"/>
        <v>1.4</v>
      </c>
      <c r="CX145" s="106">
        <f t="shared" si="1445"/>
        <v>1.4</v>
      </c>
      <c r="CY145" s="107">
        <f t="shared" si="1446"/>
        <v>0</v>
      </c>
      <c r="CZ145" s="108"/>
      <c r="DA145" s="105"/>
      <c r="DB145" s="106"/>
      <c r="DC145" s="107"/>
      <c r="DD145" s="108"/>
      <c r="DE145" s="164">
        <f t="shared" ref="DE145:DE147" si="1482">SUM(DF145,DH145)</f>
        <v>0</v>
      </c>
      <c r="DF145" s="147"/>
      <c r="DG145" s="161"/>
      <c r="DH145" s="162"/>
      <c r="DI145" s="164"/>
      <c r="DJ145" s="147"/>
      <c r="DK145" s="161"/>
      <c r="DL145" s="162"/>
      <c r="DM145" s="105">
        <f t="shared" si="1452"/>
        <v>1.4</v>
      </c>
      <c r="DN145" s="106">
        <f t="shared" si="1453"/>
        <v>1.4</v>
      </c>
      <c r="DO145" s="107">
        <f t="shared" si="1454"/>
        <v>0</v>
      </c>
      <c r="DP145" s="108"/>
      <c r="DQ145" s="105"/>
      <c r="DR145" s="106"/>
      <c r="DS145" s="107"/>
      <c r="DT145" s="108"/>
      <c r="DU145" s="164">
        <f t="shared" ref="DU145:DU147" si="1483">SUM(DV145,DX145)</f>
        <v>0</v>
      </c>
      <c r="DV145" s="147"/>
      <c r="DW145" s="161"/>
      <c r="DX145" s="162"/>
      <c r="DY145" s="164"/>
      <c r="DZ145" s="147"/>
      <c r="EA145" s="161"/>
      <c r="EB145" s="162"/>
      <c r="EC145" s="105">
        <f t="shared" si="1460"/>
        <v>1.4</v>
      </c>
      <c r="ED145" s="106">
        <f t="shared" si="1461"/>
        <v>1.4</v>
      </c>
      <c r="EE145" s="107">
        <f t="shared" si="1462"/>
        <v>0</v>
      </c>
      <c r="EF145" s="108"/>
      <c r="EG145" s="105"/>
      <c r="EH145" s="106"/>
      <c r="EI145" s="107"/>
      <c r="EJ145" s="108"/>
      <c r="EK145" s="163">
        <f t="shared" si="1402"/>
        <v>3.2</v>
      </c>
      <c r="EL145" s="163">
        <f t="shared" si="1403"/>
        <v>1.8000000000000003</v>
      </c>
      <c r="EM145" s="105">
        <f>SUM(EN145,EP145)</f>
        <v>3.2</v>
      </c>
      <c r="EN145" s="106">
        <v>3.2</v>
      </c>
      <c r="EO145" s="107"/>
      <c r="EP145" s="108"/>
      <c r="EQ145" s="105"/>
      <c r="ER145" s="106"/>
      <c r="ES145" s="107"/>
      <c r="ET145" s="108"/>
    </row>
    <row r="146" spans="1:150" s="4" customFormat="1" ht="21.65" hidden="1" customHeight="1" x14ac:dyDescent="0.25">
      <c r="A146" s="142" t="s">
        <v>40</v>
      </c>
      <c r="B146" s="43" t="s">
        <v>116</v>
      </c>
      <c r="C146" s="48" t="s">
        <v>189</v>
      </c>
      <c r="D146" s="139" t="s">
        <v>37</v>
      </c>
      <c r="E146" s="105"/>
      <c r="F146" s="106"/>
      <c r="G146" s="107"/>
      <c r="H146" s="108"/>
      <c r="I146" s="105"/>
      <c r="J146" s="106"/>
      <c r="K146" s="107"/>
      <c r="L146" s="108"/>
      <c r="M146" s="105"/>
      <c r="N146" s="106"/>
      <c r="O146" s="107"/>
      <c r="P146" s="108"/>
      <c r="Q146" s="105"/>
      <c r="R146" s="106"/>
      <c r="S146" s="107"/>
      <c r="T146" s="108"/>
      <c r="U146" s="105">
        <f t="shared" si="1468"/>
        <v>0</v>
      </c>
      <c r="V146" s="106">
        <f t="shared" si="1469"/>
        <v>0</v>
      </c>
      <c r="W146" s="107">
        <f t="shared" si="1470"/>
        <v>0</v>
      </c>
      <c r="X146" s="108">
        <f t="shared" si="1471"/>
        <v>0</v>
      </c>
      <c r="Y146" s="105">
        <f t="shared" si="1472"/>
        <v>0</v>
      </c>
      <c r="Z146" s="106">
        <f t="shared" si="1473"/>
        <v>0</v>
      </c>
      <c r="AA146" s="107">
        <f t="shared" si="1474"/>
        <v>0</v>
      </c>
      <c r="AB146" s="108">
        <f t="shared" si="1475"/>
        <v>0</v>
      </c>
      <c r="AC146" s="105">
        <f t="shared" ref="AC146:AC147" si="1484">SUM(AD146,AF146)</f>
        <v>0</v>
      </c>
      <c r="AD146" s="106"/>
      <c r="AE146" s="107"/>
      <c r="AF146" s="108"/>
      <c r="AG146" s="105"/>
      <c r="AH146" s="106"/>
      <c r="AI146" s="107"/>
      <c r="AJ146" s="108"/>
      <c r="AK146" s="105">
        <f t="shared" si="1412"/>
        <v>0</v>
      </c>
      <c r="AL146" s="106">
        <f t="shared" si="1413"/>
        <v>0</v>
      </c>
      <c r="AM146" s="107">
        <f t="shared" si="1414"/>
        <v>0</v>
      </c>
      <c r="AN146" s="108">
        <f t="shared" si="1415"/>
        <v>0</v>
      </c>
      <c r="AO146" s="105">
        <f t="shared" si="1416"/>
        <v>0</v>
      </c>
      <c r="AP146" s="106">
        <f t="shared" si="1417"/>
        <v>0</v>
      </c>
      <c r="AQ146" s="107">
        <f t="shared" si="1418"/>
        <v>0</v>
      </c>
      <c r="AR146" s="108">
        <f t="shared" si="1419"/>
        <v>0</v>
      </c>
      <c r="AS146" s="105">
        <f t="shared" ref="AS146:AS147" si="1485">SUM(AT146,AV146)</f>
        <v>0</v>
      </c>
      <c r="AT146" s="106"/>
      <c r="AU146" s="107"/>
      <c r="AV146" s="108"/>
      <c r="AW146" s="105"/>
      <c r="AX146" s="106"/>
      <c r="AY146" s="107"/>
      <c r="AZ146" s="108"/>
      <c r="BA146" s="105">
        <f t="shared" si="1420"/>
        <v>0</v>
      </c>
      <c r="BB146" s="106">
        <f t="shared" si="1421"/>
        <v>0</v>
      </c>
      <c r="BC146" s="107">
        <f t="shared" si="1422"/>
        <v>0</v>
      </c>
      <c r="BD146" s="108">
        <f t="shared" si="1423"/>
        <v>0</v>
      </c>
      <c r="BE146" s="105">
        <f t="shared" si="1424"/>
        <v>0</v>
      </c>
      <c r="BF146" s="106">
        <f t="shared" si="1425"/>
        <v>0</v>
      </c>
      <c r="BG146" s="107">
        <f t="shared" si="1426"/>
        <v>0</v>
      </c>
      <c r="BH146" s="108">
        <f t="shared" si="1427"/>
        <v>0</v>
      </c>
      <c r="BI146" s="105">
        <f t="shared" si="1476"/>
        <v>0</v>
      </c>
      <c r="BJ146" s="106"/>
      <c r="BK146" s="107"/>
      <c r="BL146" s="108"/>
      <c r="BM146" s="105"/>
      <c r="BN146" s="106"/>
      <c r="BO146" s="107"/>
      <c r="BP146" s="108"/>
      <c r="BQ146" s="105">
        <f t="shared" si="1477"/>
        <v>0</v>
      </c>
      <c r="BR146" s="106">
        <f t="shared" si="1478"/>
        <v>0</v>
      </c>
      <c r="BS146" s="107">
        <f t="shared" si="1479"/>
        <v>0</v>
      </c>
      <c r="BT146" s="108">
        <f t="shared" si="1431"/>
        <v>0</v>
      </c>
      <c r="BU146" s="105">
        <f t="shared" si="1432"/>
        <v>0</v>
      </c>
      <c r="BV146" s="106">
        <f t="shared" si="1433"/>
        <v>0</v>
      </c>
      <c r="BW146" s="107">
        <f t="shared" si="1434"/>
        <v>0</v>
      </c>
      <c r="BX146" s="108">
        <f t="shared" si="1435"/>
        <v>0</v>
      </c>
      <c r="BY146" s="164">
        <f t="shared" si="1480"/>
        <v>0</v>
      </c>
      <c r="BZ146" s="147"/>
      <c r="CA146" s="161"/>
      <c r="CB146" s="162"/>
      <c r="CC146" s="164"/>
      <c r="CD146" s="147"/>
      <c r="CE146" s="161"/>
      <c r="CF146" s="162"/>
      <c r="CG146" s="105">
        <f t="shared" si="1436"/>
        <v>0</v>
      </c>
      <c r="CH146" s="106">
        <f t="shared" si="1437"/>
        <v>0</v>
      </c>
      <c r="CI146" s="107">
        <f t="shared" si="1438"/>
        <v>0</v>
      </c>
      <c r="CJ146" s="108">
        <f t="shared" ref="CJ146:CJ149" si="1486">BT146+CB146</f>
        <v>0</v>
      </c>
      <c r="CK146" s="105">
        <f t="shared" ref="CK146:CK149" si="1487">SUM(CL146,CN146)</f>
        <v>0</v>
      </c>
      <c r="CL146" s="106">
        <f t="shared" ref="CL146:CL149" si="1488">BV146+CD146</f>
        <v>0</v>
      </c>
      <c r="CM146" s="107">
        <f t="shared" ref="CM146:CM149" si="1489">BW146+CE146</f>
        <v>0</v>
      </c>
      <c r="CN146" s="108">
        <f t="shared" ref="CN146:CN149" si="1490">BX146+CF146</f>
        <v>0</v>
      </c>
      <c r="CO146" s="164">
        <f t="shared" si="1481"/>
        <v>0</v>
      </c>
      <c r="CP146" s="147"/>
      <c r="CQ146" s="161"/>
      <c r="CR146" s="162"/>
      <c r="CS146" s="164"/>
      <c r="CT146" s="147"/>
      <c r="CU146" s="161"/>
      <c r="CV146" s="162"/>
      <c r="CW146" s="105">
        <f t="shared" si="1444"/>
        <v>0</v>
      </c>
      <c r="CX146" s="106">
        <f t="shared" si="1445"/>
        <v>0</v>
      </c>
      <c r="CY146" s="107">
        <f t="shared" si="1446"/>
        <v>0</v>
      </c>
      <c r="CZ146" s="108">
        <f t="shared" ref="CZ146:CZ149" si="1491">CJ146+CR146</f>
        <v>0</v>
      </c>
      <c r="DA146" s="105">
        <f t="shared" ref="DA146:DA149" si="1492">SUM(DB146,DD146)</f>
        <v>0</v>
      </c>
      <c r="DB146" s="106">
        <f t="shared" ref="DB146:DB149" si="1493">CL146+CT146</f>
        <v>0</v>
      </c>
      <c r="DC146" s="107">
        <f t="shared" ref="DC146:DC149" si="1494">CM146+CU146</f>
        <v>0</v>
      </c>
      <c r="DD146" s="108">
        <f t="shared" ref="DD146:DD149" si="1495">CN146+CV146</f>
        <v>0</v>
      </c>
      <c r="DE146" s="164">
        <f t="shared" si="1482"/>
        <v>0</v>
      </c>
      <c r="DF146" s="147"/>
      <c r="DG146" s="161"/>
      <c r="DH146" s="162"/>
      <c r="DI146" s="164"/>
      <c r="DJ146" s="147"/>
      <c r="DK146" s="161"/>
      <c r="DL146" s="162"/>
      <c r="DM146" s="105">
        <f t="shared" si="1452"/>
        <v>0</v>
      </c>
      <c r="DN146" s="106">
        <f t="shared" si="1453"/>
        <v>0</v>
      </c>
      <c r="DO146" s="107">
        <f t="shared" si="1454"/>
        <v>0</v>
      </c>
      <c r="DP146" s="108">
        <f t="shared" ref="DP146:DP149" si="1496">CZ146+DH146</f>
        <v>0</v>
      </c>
      <c r="DQ146" s="105">
        <f t="shared" ref="DQ146:DQ149" si="1497">SUM(DR146,DT146)</f>
        <v>0</v>
      </c>
      <c r="DR146" s="106">
        <f t="shared" ref="DR146:DR149" si="1498">DB146+DJ146</f>
        <v>0</v>
      </c>
      <c r="DS146" s="107">
        <f t="shared" ref="DS146:DS149" si="1499">DC146+DK146</f>
        <v>0</v>
      </c>
      <c r="DT146" s="108">
        <f t="shared" ref="DT146:DT149" si="1500">DD146+DL146</f>
        <v>0</v>
      </c>
      <c r="DU146" s="164">
        <f t="shared" si="1483"/>
        <v>0</v>
      </c>
      <c r="DV146" s="147"/>
      <c r="DW146" s="161"/>
      <c r="DX146" s="162"/>
      <c r="DY146" s="164"/>
      <c r="DZ146" s="147"/>
      <c r="EA146" s="161"/>
      <c r="EB146" s="162"/>
      <c r="EC146" s="105">
        <f t="shared" si="1460"/>
        <v>0</v>
      </c>
      <c r="ED146" s="106">
        <f t="shared" si="1461"/>
        <v>0</v>
      </c>
      <c r="EE146" s="107">
        <f t="shared" si="1462"/>
        <v>0</v>
      </c>
      <c r="EF146" s="108">
        <f t="shared" ref="EF146:EF149" si="1501">DP146+DX146</f>
        <v>0</v>
      </c>
      <c r="EG146" s="105">
        <f t="shared" ref="EG146:EG149" si="1502">SUM(EH146,EJ146)</f>
        <v>0</v>
      </c>
      <c r="EH146" s="106">
        <f t="shared" ref="EH146:EH149" si="1503">DR146+DZ146</f>
        <v>0</v>
      </c>
      <c r="EI146" s="107">
        <f t="shared" ref="EI146:EI149" si="1504">DS146+EA146</f>
        <v>0</v>
      </c>
      <c r="EJ146" s="108">
        <f t="shared" ref="EJ146:EJ149" si="1505">DT146+EB146</f>
        <v>0</v>
      </c>
      <c r="EK146" s="153">
        <f t="shared" si="1402"/>
        <v>0</v>
      </c>
      <c r="EL146" s="153">
        <f t="shared" si="1403"/>
        <v>0</v>
      </c>
      <c r="EM146" s="105"/>
      <c r="EN146" s="106"/>
      <c r="EO146" s="107"/>
      <c r="EP146" s="108"/>
      <c r="EQ146" s="105"/>
      <c r="ER146" s="106"/>
      <c r="ES146" s="107"/>
      <c r="ET146" s="108"/>
    </row>
    <row r="147" spans="1:150" s="4" customFormat="1" ht="21.65" customHeight="1" x14ac:dyDescent="0.3">
      <c r="A147" s="54" t="s">
        <v>24</v>
      </c>
      <c r="B147" s="55" t="s">
        <v>45</v>
      </c>
      <c r="C147" s="48" t="s">
        <v>189</v>
      </c>
      <c r="D147" s="139" t="s">
        <v>37</v>
      </c>
      <c r="E147" s="105"/>
      <c r="F147" s="106"/>
      <c r="G147" s="107"/>
      <c r="H147" s="108"/>
      <c r="I147" s="105"/>
      <c r="J147" s="106"/>
      <c r="K147" s="107"/>
      <c r="L147" s="108"/>
      <c r="M147" s="105"/>
      <c r="N147" s="106"/>
      <c r="O147" s="107"/>
      <c r="P147" s="108"/>
      <c r="Q147" s="105"/>
      <c r="R147" s="106"/>
      <c r="S147" s="107"/>
      <c r="T147" s="108"/>
      <c r="U147" s="105">
        <f t="shared" si="1468"/>
        <v>0</v>
      </c>
      <c r="V147" s="106">
        <f t="shared" si="1469"/>
        <v>0</v>
      </c>
      <c r="W147" s="107">
        <f t="shared" si="1470"/>
        <v>0</v>
      </c>
      <c r="X147" s="108">
        <f t="shared" si="1471"/>
        <v>0</v>
      </c>
      <c r="Y147" s="105">
        <f t="shared" si="1472"/>
        <v>0</v>
      </c>
      <c r="Z147" s="106">
        <f t="shared" si="1473"/>
        <v>0</v>
      </c>
      <c r="AA147" s="107">
        <f t="shared" si="1474"/>
        <v>0</v>
      </c>
      <c r="AB147" s="108">
        <f t="shared" si="1475"/>
        <v>0</v>
      </c>
      <c r="AC147" s="105">
        <f t="shared" si="1484"/>
        <v>0.14399999999999999</v>
      </c>
      <c r="AD147" s="106">
        <v>0.14399999999999999</v>
      </c>
      <c r="AE147" s="107"/>
      <c r="AF147" s="108"/>
      <c r="AG147" s="105"/>
      <c r="AH147" s="106"/>
      <c r="AI147" s="107"/>
      <c r="AJ147" s="108"/>
      <c r="AK147" s="105">
        <f t="shared" si="1412"/>
        <v>0.14399999999999999</v>
      </c>
      <c r="AL147" s="106">
        <f t="shared" si="1413"/>
        <v>0.14399999999999999</v>
      </c>
      <c r="AM147" s="107">
        <f t="shared" si="1414"/>
        <v>0</v>
      </c>
      <c r="AN147" s="108">
        <f t="shared" si="1415"/>
        <v>0</v>
      </c>
      <c r="AO147" s="105">
        <f t="shared" si="1416"/>
        <v>0</v>
      </c>
      <c r="AP147" s="106">
        <f t="shared" si="1417"/>
        <v>0</v>
      </c>
      <c r="AQ147" s="107">
        <f t="shared" si="1418"/>
        <v>0</v>
      </c>
      <c r="AR147" s="108">
        <f t="shared" si="1419"/>
        <v>0</v>
      </c>
      <c r="AS147" s="105">
        <f t="shared" si="1485"/>
        <v>0</v>
      </c>
      <c r="AT147" s="106"/>
      <c r="AU147" s="107"/>
      <c r="AV147" s="108"/>
      <c r="AW147" s="105"/>
      <c r="AX147" s="106"/>
      <c r="AY147" s="107"/>
      <c r="AZ147" s="108"/>
      <c r="BA147" s="105">
        <f t="shared" si="1420"/>
        <v>0.14399999999999999</v>
      </c>
      <c r="BB147" s="106">
        <f t="shared" si="1421"/>
        <v>0.14399999999999999</v>
      </c>
      <c r="BC147" s="107">
        <f t="shared" si="1422"/>
        <v>0</v>
      </c>
      <c r="BD147" s="108">
        <f t="shared" si="1423"/>
        <v>0</v>
      </c>
      <c r="BE147" s="105">
        <f t="shared" si="1424"/>
        <v>0</v>
      </c>
      <c r="BF147" s="106">
        <f t="shared" si="1425"/>
        <v>0</v>
      </c>
      <c r="BG147" s="107">
        <f t="shared" si="1426"/>
        <v>0</v>
      </c>
      <c r="BH147" s="108">
        <f t="shared" si="1427"/>
        <v>0</v>
      </c>
      <c r="BI147" s="105">
        <f t="shared" ref="BI147" si="1506">SUM(BJ147,BL147)</f>
        <v>0.18</v>
      </c>
      <c r="BJ147" s="106">
        <v>0.18</v>
      </c>
      <c r="BK147" s="107"/>
      <c r="BL147" s="108"/>
      <c r="BM147" s="105"/>
      <c r="BN147" s="106"/>
      <c r="BO147" s="107"/>
      <c r="BP147" s="108"/>
      <c r="BQ147" s="105">
        <f t="shared" si="1477"/>
        <v>0.32399999999999995</v>
      </c>
      <c r="BR147" s="106">
        <f t="shared" si="1478"/>
        <v>0.32399999999999995</v>
      </c>
      <c r="BS147" s="107">
        <f t="shared" si="1479"/>
        <v>0</v>
      </c>
      <c r="BT147" s="108">
        <f t="shared" si="1431"/>
        <v>0</v>
      </c>
      <c r="BU147" s="105">
        <f t="shared" si="1432"/>
        <v>0</v>
      </c>
      <c r="BV147" s="106">
        <f t="shared" si="1433"/>
        <v>0</v>
      </c>
      <c r="BW147" s="107">
        <f t="shared" si="1434"/>
        <v>0</v>
      </c>
      <c r="BX147" s="108">
        <f t="shared" si="1435"/>
        <v>0</v>
      </c>
      <c r="BY147" s="164">
        <f t="shared" si="1480"/>
        <v>0</v>
      </c>
      <c r="BZ147" s="147"/>
      <c r="CA147" s="161"/>
      <c r="CB147" s="162"/>
      <c r="CC147" s="164"/>
      <c r="CD147" s="147"/>
      <c r="CE147" s="161"/>
      <c r="CF147" s="162"/>
      <c r="CG147" s="105">
        <f t="shared" si="1436"/>
        <v>0.32399999999999995</v>
      </c>
      <c r="CH147" s="106">
        <f t="shared" si="1437"/>
        <v>0.32399999999999995</v>
      </c>
      <c r="CI147" s="107">
        <f t="shared" si="1438"/>
        <v>0</v>
      </c>
      <c r="CJ147" s="108">
        <f t="shared" si="1486"/>
        <v>0</v>
      </c>
      <c r="CK147" s="105">
        <f t="shared" si="1487"/>
        <v>0</v>
      </c>
      <c r="CL147" s="106">
        <f t="shared" si="1488"/>
        <v>0</v>
      </c>
      <c r="CM147" s="107">
        <f t="shared" si="1489"/>
        <v>0</v>
      </c>
      <c r="CN147" s="108">
        <f t="shared" si="1490"/>
        <v>0</v>
      </c>
      <c r="CO147" s="164">
        <f t="shared" si="1481"/>
        <v>0</v>
      </c>
      <c r="CP147" s="147"/>
      <c r="CQ147" s="161"/>
      <c r="CR147" s="162"/>
      <c r="CS147" s="164"/>
      <c r="CT147" s="147"/>
      <c r="CU147" s="161"/>
      <c r="CV147" s="162"/>
      <c r="CW147" s="105">
        <f t="shared" si="1444"/>
        <v>0.32399999999999995</v>
      </c>
      <c r="CX147" s="106">
        <f t="shared" si="1445"/>
        <v>0.32399999999999995</v>
      </c>
      <c r="CY147" s="107">
        <f t="shared" si="1446"/>
        <v>0</v>
      </c>
      <c r="CZ147" s="108">
        <f t="shared" si="1491"/>
        <v>0</v>
      </c>
      <c r="DA147" s="105">
        <f t="shared" si="1492"/>
        <v>0</v>
      </c>
      <c r="DB147" s="106">
        <f t="shared" si="1493"/>
        <v>0</v>
      </c>
      <c r="DC147" s="107">
        <f t="shared" si="1494"/>
        <v>0</v>
      </c>
      <c r="DD147" s="108">
        <f t="shared" si="1495"/>
        <v>0</v>
      </c>
      <c r="DE147" s="164">
        <f t="shared" si="1482"/>
        <v>0</v>
      </c>
      <c r="DF147" s="147"/>
      <c r="DG147" s="161"/>
      <c r="DH147" s="162"/>
      <c r="DI147" s="164"/>
      <c r="DJ147" s="147"/>
      <c r="DK147" s="161"/>
      <c r="DL147" s="162"/>
      <c r="DM147" s="105">
        <f t="shared" si="1452"/>
        <v>0.32399999999999995</v>
      </c>
      <c r="DN147" s="106">
        <f t="shared" si="1453"/>
        <v>0.32399999999999995</v>
      </c>
      <c r="DO147" s="107">
        <f t="shared" si="1454"/>
        <v>0</v>
      </c>
      <c r="DP147" s="108">
        <f t="shared" si="1496"/>
        <v>0</v>
      </c>
      <c r="DQ147" s="105">
        <f t="shared" si="1497"/>
        <v>0</v>
      </c>
      <c r="DR147" s="106">
        <f t="shared" si="1498"/>
        <v>0</v>
      </c>
      <c r="DS147" s="107">
        <f t="shared" si="1499"/>
        <v>0</v>
      </c>
      <c r="DT147" s="108">
        <f t="shared" si="1500"/>
        <v>0</v>
      </c>
      <c r="DU147" s="164">
        <f t="shared" si="1483"/>
        <v>0.27600000000000002</v>
      </c>
      <c r="DV147" s="147">
        <v>0.27600000000000002</v>
      </c>
      <c r="DW147" s="161"/>
      <c r="DX147" s="162"/>
      <c r="DY147" s="164"/>
      <c r="DZ147" s="147"/>
      <c r="EA147" s="161"/>
      <c r="EB147" s="162"/>
      <c r="EC147" s="105">
        <f t="shared" si="1460"/>
        <v>0.6</v>
      </c>
      <c r="ED147" s="106">
        <f t="shared" si="1461"/>
        <v>0.6</v>
      </c>
      <c r="EE147" s="107">
        <f t="shared" si="1462"/>
        <v>0</v>
      </c>
      <c r="EF147" s="108">
        <f t="shared" si="1501"/>
        <v>0</v>
      </c>
      <c r="EG147" s="105">
        <f t="shared" si="1502"/>
        <v>0</v>
      </c>
      <c r="EH147" s="106">
        <f t="shared" si="1503"/>
        <v>0</v>
      </c>
      <c r="EI147" s="107">
        <f t="shared" si="1504"/>
        <v>0</v>
      </c>
      <c r="EJ147" s="108">
        <f t="shared" si="1505"/>
        <v>0</v>
      </c>
      <c r="EK147" s="153">
        <f t="shared" si="1402"/>
        <v>0</v>
      </c>
      <c r="EL147" s="154">
        <f t="shared" si="1403"/>
        <v>-0.6</v>
      </c>
      <c r="EM147" s="105"/>
      <c r="EN147" s="106"/>
      <c r="EO147" s="107"/>
      <c r="EP147" s="108"/>
      <c r="EQ147" s="105"/>
      <c r="ER147" s="106"/>
      <c r="ES147" s="107"/>
      <c r="ET147" s="108"/>
    </row>
    <row r="148" spans="1:150" s="4" customFormat="1" ht="21.65" customHeight="1" x14ac:dyDescent="0.25">
      <c r="A148" s="139" t="s">
        <v>33</v>
      </c>
      <c r="B148" s="25" t="s">
        <v>47</v>
      </c>
      <c r="C148" s="48" t="s">
        <v>190</v>
      </c>
      <c r="D148" s="139" t="s">
        <v>37</v>
      </c>
      <c r="E148" s="105">
        <f>SUM(F148,H148)</f>
        <v>0.12</v>
      </c>
      <c r="F148" s="106">
        <v>0.12</v>
      </c>
      <c r="G148" s="107"/>
      <c r="H148" s="108"/>
      <c r="I148" s="105">
        <f>SUM(J148,L148)</f>
        <v>0</v>
      </c>
      <c r="J148" s="106"/>
      <c r="K148" s="107"/>
      <c r="L148" s="108"/>
      <c r="M148" s="105">
        <f>SUM(N148,P148)</f>
        <v>0</v>
      </c>
      <c r="N148" s="106"/>
      <c r="O148" s="107"/>
      <c r="P148" s="108"/>
      <c r="Q148" s="105">
        <f>SUM(R148,T148)</f>
        <v>0</v>
      </c>
      <c r="R148" s="106"/>
      <c r="S148" s="107"/>
      <c r="T148" s="108"/>
      <c r="U148" s="105">
        <f t="shared" si="1468"/>
        <v>0.12</v>
      </c>
      <c r="V148" s="106">
        <f t="shared" si="1469"/>
        <v>0.12</v>
      </c>
      <c r="W148" s="107">
        <f t="shared" si="1470"/>
        <v>0</v>
      </c>
      <c r="X148" s="108">
        <f t="shared" si="1471"/>
        <v>0</v>
      </c>
      <c r="Y148" s="105">
        <f t="shared" si="1472"/>
        <v>0</v>
      </c>
      <c r="Z148" s="106">
        <f t="shared" si="1473"/>
        <v>0</v>
      </c>
      <c r="AA148" s="107">
        <f t="shared" si="1474"/>
        <v>0</v>
      </c>
      <c r="AB148" s="108">
        <f t="shared" si="1475"/>
        <v>0</v>
      </c>
      <c r="AC148" s="105">
        <f>SUM(AD148,AF148)</f>
        <v>0</v>
      </c>
      <c r="AD148" s="106"/>
      <c r="AE148" s="107"/>
      <c r="AF148" s="108"/>
      <c r="AG148" s="105">
        <f>SUM(AH148,AJ148)</f>
        <v>0</v>
      </c>
      <c r="AH148" s="106"/>
      <c r="AI148" s="107"/>
      <c r="AJ148" s="108"/>
      <c r="AK148" s="105">
        <f t="shared" si="1412"/>
        <v>0.12</v>
      </c>
      <c r="AL148" s="106">
        <f t="shared" si="1413"/>
        <v>0.12</v>
      </c>
      <c r="AM148" s="107">
        <f t="shared" si="1414"/>
        <v>0</v>
      </c>
      <c r="AN148" s="108">
        <f t="shared" si="1415"/>
        <v>0</v>
      </c>
      <c r="AO148" s="105">
        <f t="shared" si="1416"/>
        <v>0</v>
      </c>
      <c r="AP148" s="106">
        <f t="shared" si="1417"/>
        <v>0</v>
      </c>
      <c r="AQ148" s="107">
        <f t="shared" si="1418"/>
        <v>0</v>
      </c>
      <c r="AR148" s="108">
        <f t="shared" si="1419"/>
        <v>0</v>
      </c>
      <c r="AS148" s="105">
        <f>SUM(AT148,AV148)</f>
        <v>0</v>
      </c>
      <c r="AT148" s="106"/>
      <c r="AU148" s="107"/>
      <c r="AV148" s="108"/>
      <c r="AW148" s="105">
        <f>SUM(AX148,AZ148)</f>
        <v>0</v>
      </c>
      <c r="AX148" s="106"/>
      <c r="AY148" s="107"/>
      <c r="AZ148" s="108"/>
      <c r="BA148" s="105">
        <f t="shared" si="1420"/>
        <v>0.12</v>
      </c>
      <c r="BB148" s="106">
        <f t="shared" si="1421"/>
        <v>0.12</v>
      </c>
      <c r="BC148" s="107">
        <f t="shared" si="1422"/>
        <v>0</v>
      </c>
      <c r="BD148" s="108">
        <f t="shared" si="1423"/>
        <v>0</v>
      </c>
      <c r="BE148" s="105">
        <f t="shared" si="1424"/>
        <v>0</v>
      </c>
      <c r="BF148" s="106">
        <f t="shared" si="1425"/>
        <v>0</v>
      </c>
      <c r="BG148" s="107">
        <f t="shared" si="1426"/>
        <v>0</v>
      </c>
      <c r="BH148" s="108">
        <f t="shared" si="1427"/>
        <v>0</v>
      </c>
      <c r="BI148" s="105">
        <f>SUM(BJ148,BL148)</f>
        <v>0</v>
      </c>
      <c r="BJ148" s="106"/>
      <c r="BK148" s="107"/>
      <c r="BL148" s="108"/>
      <c r="BM148" s="105">
        <f>SUM(BN148,BP148)</f>
        <v>0</v>
      </c>
      <c r="BN148" s="106"/>
      <c r="BO148" s="107"/>
      <c r="BP148" s="108"/>
      <c r="BQ148" s="105">
        <f t="shared" si="1428"/>
        <v>0.12</v>
      </c>
      <c r="BR148" s="106">
        <f t="shared" si="1429"/>
        <v>0.12</v>
      </c>
      <c r="BS148" s="107">
        <f t="shared" si="1430"/>
        <v>0</v>
      </c>
      <c r="BT148" s="108">
        <f t="shared" si="1431"/>
        <v>0</v>
      </c>
      <c r="BU148" s="105">
        <f t="shared" si="1432"/>
        <v>0</v>
      </c>
      <c r="BV148" s="106">
        <f t="shared" si="1433"/>
        <v>0</v>
      </c>
      <c r="BW148" s="107">
        <f t="shared" si="1434"/>
        <v>0</v>
      </c>
      <c r="BX148" s="108">
        <f t="shared" si="1435"/>
        <v>0</v>
      </c>
      <c r="BY148" s="164">
        <f>SUM(BZ148,CB148)</f>
        <v>0</v>
      </c>
      <c r="BZ148" s="147"/>
      <c r="CA148" s="161"/>
      <c r="CB148" s="162"/>
      <c r="CC148" s="164">
        <f>SUM(CD148,CF148)</f>
        <v>0</v>
      </c>
      <c r="CD148" s="147"/>
      <c r="CE148" s="161"/>
      <c r="CF148" s="162"/>
      <c r="CG148" s="105">
        <f t="shared" si="1436"/>
        <v>0.12</v>
      </c>
      <c r="CH148" s="106">
        <f t="shared" si="1437"/>
        <v>0.12</v>
      </c>
      <c r="CI148" s="107">
        <f t="shared" si="1438"/>
        <v>0</v>
      </c>
      <c r="CJ148" s="108">
        <f t="shared" si="1486"/>
        <v>0</v>
      </c>
      <c r="CK148" s="105">
        <f t="shared" si="1487"/>
        <v>0</v>
      </c>
      <c r="CL148" s="106">
        <f t="shared" si="1488"/>
        <v>0</v>
      </c>
      <c r="CM148" s="107">
        <f t="shared" si="1489"/>
        <v>0</v>
      </c>
      <c r="CN148" s="108">
        <f t="shared" si="1490"/>
        <v>0</v>
      </c>
      <c r="CO148" s="164">
        <f>SUM(CP148,CR148)</f>
        <v>0</v>
      </c>
      <c r="CP148" s="147"/>
      <c r="CQ148" s="161"/>
      <c r="CR148" s="162"/>
      <c r="CS148" s="164">
        <f>SUM(CT148,CV148)</f>
        <v>0</v>
      </c>
      <c r="CT148" s="147"/>
      <c r="CU148" s="161"/>
      <c r="CV148" s="162"/>
      <c r="CW148" s="105">
        <f t="shared" si="1444"/>
        <v>0.12</v>
      </c>
      <c r="CX148" s="106">
        <f t="shared" si="1445"/>
        <v>0.12</v>
      </c>
      <c r="CY148" s="107">
        <f t="shared" si="1446"/>
        <v>0</v>
      </c>
      <c r="CZ148" s="108">
        <f t="shared" si="1491"/>
        <v>0</v>
      </c>
      <c r="DA148" s="105">
        <f t="shared" si="1492"/>
        <v>0</v>
      </c>
      <c r="DB148" s="106">
        <f t="shared" si="1493"/>
        <v>0</v>
      </c>
      <c r="DC148" s="107">
        <f t="shared" si="1494"/>
        <v>0</v>
      </c>
      <c r="DD148" s="108">
        <f t="shared" si="1495"/>
        <v>0</v>
      </c>
      <c r="DE148" s="164">
        <f>SUM(DF148,DH148)</f>
        <v>0</v>
      </c>
      <c r="DF148" s="147"/>
      <c r="DG148" s="161"/>
      <c r="DH148" s="162"/>
      <c r="DI148" s="164">
        <f>SUM(DJ148,DL148)</f>
        <v>0</v>
      </c>
      <c r="DJ148" s="147"/>
      <c r="DK148" s="161"/>
      <c r="DL148" s="162"/>
      <c r="DM148" s="105">
        <f t="shared" si="1452"/>
        <v>0.12</v>
      </c>
      <c r="DN148" s="106">
        <f t="shared" si="1453"/>
        <v>0.12</v>
      </c>
      <c r="DO148" s="107">
        <f t="shared" si="1454"/>
        <v>0</v>
      </c>
      <c r="DP148" s="108">
        <f t="shared" si="1496"/>
        <v>0</v>
      </c>
      <c r="DQ148" s="105">
        <f t="shared" si="1497"/>
        <v>0</v>
      </c>
      <c r="DR148" s="106">
        <f t="shared" si="1498"/>
        <v>0</v>
      </c>
      <c r="DS148" s="107">
        <f t="shared" si="1499"/>
        <v>0</v>
      </c>
      <c r="DT148" s="108">
        <f t="shared" si="1500"/>
        <v>0</v>
      </c>
      <c r="DU148" s="164">
        <f>SUM(DV148,DX148)</f>
        <v>0</v>
      </c>
      <c r="DV148" s="147"/>
      <c r="DW148" s="161"/>
      <c r="DX148" s="162"/>
      <c r="DY148" s="164">
        <f>SUM(DZ148,EB148)</f>
        <v>0</v>
      </c>
      <c r="DZ148" s="147"/>
      <c r="EA148" s="161"/>
      <c r="EB148" s="162"/>
      <c r="EC148" s="105">
        <f t="shared" si="1460"/>
        <v>0.12</v>
      </c>
      <c r="ED148" s="106">
        <f t="shared" si="1461"/>
        <v>0.12</v>
      </c>
      <c r="EE148" s="107">
        <f t="shared" si="1462"/>
        <v>0</v>
      </c>
      <c r="EF148" s="108">
        <f t="shared" si="1501"/>
        <v>0</v>
      </c>
      <c r="EG148" s="105">
        <f t="shared" si="1502"/>
        <v>0</v>
      </c>
      <c r="EH148" s="106">
        <f t="shared" si="1503"/>
        <v>0</v>
      </c>
      <c r="EI148" s="107">
        <f t="shared" si="1504"/>
        <v>0</v>
      </c>
      <c r="EJ148" s="108">
        <f t="shared" si="1505"/>
        <v>0</v>
      </c>
      <c r="EK148" s="154">
        <f t="shared" si="1402"/>
        <v>-0.03</v>
      </c>
      <c r="EL148" s="154">
        <f t="shared" si="1403"/>
        <v>-0.03</v>
      </c>
      <c r="EM148" s="105">
        <f>SUM(EN148,EP148)</f>
        <v>0.09</v>
      </c>
      <c r="EN148" s="106">
        <v>0.09</v>
      </c>
      <c r="EO148" s="107"/>
      <c r="EP148" s="108"/>
      <c r="EQ148" s="105">
        <f>SUM(ER148,ET148)</f>
        <v>0</v>
      </c>
      <c r="ER148" s="106"/>
      <c r="ES148" s="107"/>
      <c r="ET148" s="108"/>
    </row>
    <row r="149" spans="1:150" s="4" customFormat="1" ht="21.65" customHeight="1" x14ac:dyDescent="0.3">
      <c r="A149" s="720" t="s">
        <v>7</v>
      </c>
      <c r="B149" s="702" t="s">
        <v>49</v>
      </c>
      <c r="C149" s="48" t="s">
        <v>197</v>
      </c>
      <c r="D149" s="95" t="s">
        <v>37</v>
      </c>
      <c r="E149" s="105">
        <f>SUM(F149,H149)</f>
        <v>10.000999999999999</v>
      </c>
      <c r="F149" s="106">
        <f>J149</f>
        <v>10.000999999999999</v>
      </c>
      <c r="G149" s="107"/>
      <c r="H149" s="108"/>
      <c r="I149" s="105">
        <f>SUM(J149,L149)</f>
        <v>10.000999999999999</v>
      </c>
      <c r="J149" s="106">
        <v>10.000999999999999</v>
      </c>
      <c r="K149" s="107"/>
      <c r="L149" s="108"/>
      <c r="M149" s="105">
        <f>SUM(N149,P149)</f>
        <v>0</v>
      </c>
      <c r="N149" s="106"/>
      <c r="O149" s="107"/>
      <c r="P149" s="108"/>
      <c r="Q149" s="105">
        <f>SUM(R149,T149)</f>
        <v>0</v>
      </c>
      <c r="R149" s="106"/>
      <c r="S149" s="107"/>
      <c r="T149" s="108"/>
      <c r="U149" s="105">
        <f t="shared" si="1468"/>
        <v>10.000999999999999</v>
      </c>
      <c r="V149" s="106">
        <f t="shared" si="1469"/>
        <v>10.000999999999999</v>
      </c>
      <c r="W149" s="107">
        <f t="shared" si="1470"/>
        <v>0</v>
      </c>
      <c r="X149" s="108">
        <f t="shared" si="1471"/>
        <v>0</v>
      </c>
      <c r="Y149" s="105">
        <f t="shared" si="1472"/>
        <v>10.000999999999999</v>
      </c>
      <c r="Z149" s="106">
        <f t="shared" si="1473"/>
        <v>10.000999999999999</v>
      </c>
      <c r="AA149" s="107">
        <f t="shared" si="1474"/>
        <v>0</v>
      </c>
      <c r="AB149" s="108">
        <f t="shared" si="1475"/>
        <v>0</v>
      </c>
      <c r="AC149" s="105">
        <f>SUM(AD149,AF149)</f>
        <v>0</v>
      </c>
      <c r="AD149" s="106"/>
      <c r="AE149" s="107"/>
      <c r="AF149" s="108"/>
      <c r="AG149" s="105">
        <f>SUM(AH149,AJ149)</f>
        <v>0</v>
      </c>
      <c r="AH149" s="106"/>
      <c r="AI149" s="107"/>
      <c r="AJ149" s="108"/>
      <c r="AK149" s="105">
        <f t="shared" si="1412"/>
        <v>10.000999999999999</v>
      </c>
      <c r="AL149" s="106">
        <f t="shared" si="1413"/>
        <v>10.000999999999999</v>
      </c>
      <c r="AM149" s="107">
        <f t="shared" si="1414"/>
        <v>0</v>
      </c>
      <c r="AN149" s="108">
        <f t="shared" si="1415"/>
        <v>0</v>
      </c>
      <c r="AO149" s="105">
        <f t="shared" si="1416"/>
        <v>10.000999999999999</v>
      </c>
      <c r="AP149" s="106">
        <f t="shared" si="1417"/>
        <v>10.000999999999999</v>
      </c>
      <c r="AQ149" s="107">
        <f t="shared" si="1418"/>
        <v>0</v>
      </c>
      <c r="AR149" s="108">
        <f t="shared" si="1419"/>
        <v>0</v>
      </c>
      <c r="AS149" s="105">
        <f>SUM(AT149,AV149)</f>
        <v>0</v>
      </c>
      <c r="AT149" s="106"/>
      <c r="AU149" s="107"/>
      <c r="AV149" s="108"/>
      <c r="AW149" s="105">
        <f>SUM(AX149,AZ149)</f>
        <v>0</v>
      </c>
      <c r="AX149" s="106"/>
      <c r="AY149" s="107"/>
      <c r="AZ149" s="108"/>
      <c r="BA149" s="105">
        <f t="shared" si="1420"/>
        <v>10.000999999999999</v>
      </c>
      <c r="BB149" s="106">
        <f t="shared" si="1421"/>
        <v>10.000999999999999</v>
      </c>
      <c r="BC149" s="107">
        <f t="shared" si="1422"/>
        <v>0</v>
      </c>
      <c r="BD149" s="108">
        <f t="shared" si="1423"/>
        <v>0</v>
      </c>
      <c r="BE149" s="105">
        <f t="shared" si="1424"/>
        <v>10.000999999999999</v>
      </c>
      <c r="BF149" s="106">
        <f t="shared" si="1425"/>
        <v>10.000999999999999</v>
      </c>
      <c r="BG149" s="107">
        <f t="shared" si="1426"/>
        <v>0</v>
      </c>
      <c r="BH149" s="108">
        <f t="shared" si="1427"/>
        <v>0</v>
      </c>
      <c r="BI149" s="105">
        <f>SUM(BJ149,BL149)</f>
        <v>0</v>
      </c>
      <c r="BJ149" s="106"/>
      <c r="BK149" s="107"/>
      <c r="BL149" s="108"/>
      <c r="BM149" s="105">
        <f>SUM(BN149,BP149)</f>
        <v>0</v>
      </c>
      <c r="BN149" s="106"/>
      <c r="BO149" s="107"/>
      <c r="BP149" s="108"/>
      <c r="BQ149" s="105">
        <f t="shared" si="1428"/>
        <v>10.000999999999999</v>
      </c>
      <c r="BR149" s="106">
        <f t="shared" si="1429"/>
        <v>10.000999999999999</v>
      </c>
      <c r="BS149" s="107">
        <f t="shared" si="1430"/>
        <v>0</v>
      </c>
      <c r="BT149" s="108">
        <f t="shared" si="1431"/>
        <v>0</v>
      </c>
      <c r="BU149" s="105">
        <f t="shared" si="1432"/>
        <v>10.000999999999999</v>
      </c>
      <c r="BV149" s="106">
        <f t="shared" si="1433"/>
        <v>10.000999999999999</v>
      </c>
      <c r="BW149" s="107">
        <f t="shared" si="1434"/>
        <v>0</v>
      </c>
      <c r="BX149" s="108">
        <f t="shared" si="1435"/>
        <v>0</v>
      </c>
      <c r="BY149" s="164">
        <f>SUM(BZ149,CB149)</f>
        <v>0</v>
      </c>
      <c r="BZ149" s="147"/>
      <c r="CA149" s="161"/>
      <c r="CB149" s="162"/>
      <c r="CC149" s="164">
        <f>SUM(CD149,CF149)</f>
        <v>0</v>
      </c>
      <c r="CD149" s="147"/>
      <c r="CE149" s="161"/>
      <c r="CF149" s="162"/>
      <c r="CG149" s="105">
        <f t="shared" si="1436"/>
        <v>10.000999999999999</v>
      </c>
      <c r="CH149" s="106">
        <f t="shared" si="1437"/>
        <v>10.000999999999999</v>
      </c>
      <c r="CI149" s="107">
        <f t="shared" si="1438"/>
        <v>0</v>
      </c>
      <c r="CJ149" s="108">
        <f t="shared" si="1486"/>
        <v>0</v>
      </c>
      <c r="CK149" s="105">
        <f t="shared" si="1487"/>
        <v>10.000999999999999</v>
      </c>
      <c r="CL149" s="106">
        <f t="shared" si="1488"/>
        <v>10.000999999999999</v>
      </c>
      <c r="CM149" s="107">
        <f t="shared" si="1489"/>
        <v>0</v>
      </c>
      <c r="CN149" s="108">
        <f t="shared" si="1490"/>
        <v>0</v>
      </c>
      <c r="CO149" s="164">
        <f>SUM(CP149,CR149)</f>
        <v>0</v>
      </c>
      <c r="CP149" s="147"/>
      <c r="CQ149" s="161"/>
      <c r="CR149" s="162"/>
      <c r="CS149" s="164">
        <f>SUM(CT149,CV149)</f>
        <v>0</v>
      </c>
      <c r="CT149" s="147"/>
      <c r="CU149" s="161"/>
      <c r="CV149" s="162"/>
      <c r="CW149" s="105">
        <f t="shared" si="1444"/>
        <v>10.000999999999999</v>
      </c>
      <c r="CX149" s="106">
        <f t="shared" si="1445"/>
        <v>10.000999999999999</v>
      </c>
      <c r="CY149" s="107">
        <f t="shared" si="1446"/>
        <v>0</v>
      </c>
      <c r="CZ149" s="108">
        <f t="shared" si="1491"/>
        <v>0</v>
      </c>
      <c r="DA149" s="105">
        <f t="shared" si="1492"/>
        <v>10.000999999999999</v>
      </c>
      <c r="DB149" s="106">
        <f t="shared" si="1493"/>
        <v>10.000999999999999</v>
      </c>
      <c r="DC149" s="107">
        <f t="shared" si="1494"/>
        <v>0</v>
      </c>
      <c r="DD149" s="108">
        <f t="shared" si="1495"/>
        <v>0</v>
      </c>
      <c r="DE149" s="164">
        <f>SUM(DF149,DH149)</f>
        <v>0</v>
      </c>
      <c r="DF149" s="147"/>
      <c r="DG149" s="161"/>
      <c r="DH149" s="162"/>
      <c r="DI149" s="164">
        <f>SUM(DJ149,DL149)</f>
        <v>0</v>
      </c>
      <c r="DJ149" s="147"/>
      <c r="DK149" s="161"/>
      <c r="DL149" s="162"/>
      <c r="DM149" s="105">
        <f t="shared" si="1452"/>
        <v>10.000999999999999</v>
      </c>
      <c r="DN149" s="106">
        <f t="shared" si="1453"/>
        <v>10.000999999999999</v>
      </c>
      <c r="DO149" s="107">
        <f t="shared" si="1454"/>
        <v>0</v>
      </c>
      <c r="DP149" s="108">
        <f t="shared" si="1496"/>
        <v>0</v>
      </c>
      <c r="DQ149" s="105">
        <f t="shared" si="1497"/>
        <v>10.000999999999999</v>
      </c>
      <c r="DR149" s="106">
        <f t="shared" si="1498"/>
        <v>10.000999999999999</v>
      </c>
      <c r="DS149" s="107">
        <f t="shared" si="1499"/>
        <v>0</v>
      </c>
      <c r="DT149" s="108">
        <f t="shared" si="1500"/>
        <v>0</v>
      </c>
      <c r="DU149" s="164">
        <f>SUM(DV149,DX149)</f>
        <v>0</v>
      </c>
      <c r="DV149" s="147"/>
      <c r="DW149" s="161"/>
      <c r="DX149" s="162"/>
      <c r="DY149" s="164">
        <f>SUM(DZ149,EB149)</f>
        <v>0</v>
      </c>
      <c r="DZ149" s="147"/>
      <c r="EA149" s="161"/>
      <c r="EB149" s="162"/>
      <c r="EC149" s="105">
        <f t="shared" si="1460"/>
        <v>10.000999999999999</v>
      </c>
      <c r="ED149" s="106">
        <f t="shared" si="1461"/>
        <v>10.000999999999999</v>
      </c>
      <c r="EE149" s="107">
        <f t="shared" si="1462"/>
        <v>0</v>
      </c>
      <c r="EF149" s="108">
        <f t="shared" si="1501"/>
        <v>0</v>
      </c>
      <c r="EG149" s="105">
        <f t="shared" si="1502"/>
        <v>10.000999999999999</v>
      </c>
      <c r="EH149" s="106">
        <f t="shared" si="1503"/>
        <v>10.000999999999999</v>
      </c>
      <c r="EI149" s="107">
        <f t="shared" si="1504"/>
        <v>0</v>
      </c>
      <c r="EJ149" s="108">
        <f t="shared" si="1505"/>
        <v>0</v>
      </c>
      <c r="EK149" s="154">
        <f t="shared" si="1402"/>
        <v>-10.000999999999999</v>
      </c>
      <c r="EL149" s="154">
        <f t="shared" si="1403"/>
        <v>-10.000999999999999</v>
      </c>
      <c r="EM149" s="105">
        <f t="shared" ref="EM149:EM150" si="1507">SUM(EN149,EP149)</f>
        <v>0</v>
      </c>
      <c r="EN149" s="106">
        <f>ER149</f>
        <v>0</v>
      </c>
      <c r="EO149" s="107"/>
      <c r="EP149" s="108"/>
      <c r="EQ149" s="105">
        <f>SUM(ER149,ET149)</f>
        <v>0</v>
      </c>
      <c r="ER149" s="106"/>
      <c r="ES149" s="107"/>
      <c r="ET149" s="108"/>
    </row>
    <row r="150" spans="1:150" s="4" customFormat="1" ht="21.65" customHeight="1" x14ac:dyDescent="0.25">
      <c r="A150" s="721"/>
      <c r="B150" s="703"/>
      <c r="C150" s="48" t="s">
        <v>224</v>
      </c>
      <c r="D150" s="139" t="s">
        <v>52</v>
      </c>
      <c r="E150" s="105"/>
      <c r="F150" s="106"/>
      <c r="G150" s="107"/>
      <c r="H150" s="108"/>
      <c r="I150" s="105"/>
      <c r="J150" s="106"/>
      <c r="K150" s="107"/>
      <c r="L150" s="108"/>
      <c r="M150" s="105"/>
      <c r="N150" s="106"/>
      <c r="O150" s="107"/>
      <c r="P150" s="108"/>
      <c r="Q150" s="105"/>
      <c r="R150" s="106"/>
      <c r="S150" s="107"/>
      <c r="T150" s="108"/>
      <c r="U150" s="105"/>
      <c r="V150" s="106"/>
      <c r="W150" s="107"/>
      <c r="X150" s="108"/>
      <c r="Y150" s="105"/>
      <c r="Z150" s="106"/>
      <c r="AA150" s="107"/>
      <c r="AB150" s="108"/>
      <c r="AC150" s="105"/>
      <c r="AD150" s="106"/>
      <c r="AE150" s="107"/>
      <c r="AF150" s="108"/>
      <c r="AG150" s="105"/>
      <c r="AH150" s="106"/>
      <c r="AI150" s="107"/>
      <c r="AJ150" s="108"/>
      <c r="AK150" s="105"/>
      <c r="AL150" s="106"/>
      <c r="AM150" s="107"/>
      <c r="AN150" s="108"/>
      <c r="AO150" s="105"/>
      <c r="AP150" s="106"/>
      <c r="AQ150" s="107"/>
      <c r="AR150" s="108"/>
      <c r="AS150" s="105"/>
      <c r="AT150" s="106"/>
      <c r="AU150" s="107"/>
      <c r="AV150" s="108"/>
      <c r="AW150" s="105"/>
      <c r="AX150" s="106"/>
      <c r="AY150" s="107"/>
      <c r="AZ150" s="108"/>
      <c r="BA150" s="105"/>
      <c r="BB150" s="106"/>
      <c r="BC150" s="107"/>
      <c r="BD150" s="108"/>
      <c r="BE150" s="105"/>
      <c r="BF150" s="106"/>
      <c r="BG150" s="107"/>
      <c r="BH150" s="108"/>
      <c r="BI150" s="105"/>
      <c r="BJ150" s="106"/>
      <c r="BK150" s="107"/>
      <c r="BL150" s="108"/>
      <c r="BM150" s="105"/>
      <c r="BN150" s="106"/>
      <c r="BO150" s="107"/>
      <c r="BP150" s="108"/>
      <c r="BQ150" s="105"/>
      <c r="BR150" s="106"/>
      <c r="BS150" s="107"/>
      <c r="BT150" s="108"/>
      <c r="BU150" s="105"/>
      <c r="BV150" s="106"/>
      <c r="BW150" s="107"/>
      <c r="BX150" s="108"/>
      <c r="BY150" s="164"/>
      <c r="BZ150" s="147"/>
      <c r="CA150" s="161"/>
      <c r="CB150" s="162"/>
      <c r="CC150" s="164"/>
      <c r="CD150" s="147"/>
      <c r="CE150" s="161"/>
      <c r="CF150" s="162"/>
      <c r="CG150" s="105"/>
      <c r="CH150" s="106"/>
      <c r="CI150" s="107"/>
      <c r="CJ150" s="108"/>
      <c r="CK150" s="105"/>
      <c r="CL150" s="106"/>
      <c r="CM150" s="107"/>
      <c r="CN150" s="108"/>
      <c r="CO150" s="164"/>
      <c r="CP150" s="147"/>
      <c r="CQ150" s="161"/>
      <c r="CR150" s="162"/>
      <c r="CS150" s="164"/>
      <c r="CT150" s="147"/>
      <c r="CU150" s="161"/>
      <c r="CV150" s="162"/>
      <c r="CW150" s="105"/>
      <c r="CX150" s="106"/>
      <c r="CY150" s="107"/>
      <c r="CZ150" s="108"/>
      <c r="DA150" s="105"/>
      <c r="DB150" s="106"/>
      <c r="DC150" s="107"/>
      <c r="DD150" s="108"/>
      <c r="DE150" s="164"/>
      <c r="DF150" s="147"/>
      <c r="DG150" s="161"/>
      <c r="DH150" s="162"/>
      <c r="DI150" s="164"/>
      <c r="DJ150" s="147"/>
      <c r="DK150" s="161"/>
      <c r="DL150" s="162"/>
      <c r="DM150" s="105"/>
      <c r="DN150" s="106"/>
      <c r="DO150" s="107"/>
      <c r="DP150" s="108"/>
      <c r="DQ150" s="105"/>
      <c r="DR150" s="106"/>
      <c r="DS150" s="107"/>
      <c r="DT150" s="108"/>
      <c r="DU150" s="164"/>
      <c r="DV150" s="147"/>
      <c r="DW150" s="161"/>
      <c r="DX150" s="162"/>
      <c r="DY150" s="164"/>
      <c r="DZ150" s="147"/>
      <c r="EA150" s="161"/>
      <c r="EB150" s="162"/>
      <c r="EC150" s="105"/>
      <c r="ED150" s="106"/>
      <c r="EE150" s="107"/>
      <c r="EF150" s="108"/>
      <c r="EG150" s="105"/>
      <c r="EH150" s="106"/>
      <c r="EI150" s="107"/>
      <c r="EJ150" s="108"/>
      <c r="EK150" s="163">
        <f t="shared" si="1402"/>
        <v>3</v>
      </c>
      <c r="EL150" s="163">
        <f t="shared" si="1403"/>
        <v>3</v>
      </c>
      <c r="EM150" s="105">
        <f t="shared" si="1507"/>
        <v>3</v>
      </c>
      <c r="EN150" s="106">
        <v>3</v>
      </c>
      <c r="EO150" s="107"/>
      <c r="EP150" s="108"/>
      <c r="EQ150" s="105"/>
      <c r="ER150" s="106"/>
      <c r="ES150" s="107"/>
      <c r="ET150" s="108"/>
    </row>
    <row r="151" spans="1:150" ht="23" customHeight="1" x14ac:dyDescent="0.3">
      <c r="A151" s="46"/>
      <c r="B151" s="33" t="s">
        <v>19</v>
      </c>
      <c r="C151" s="47" t="s">
        <v>110</v>
      </c>
      <c r="D151" s="94"/>
      <c r="E151" s="148">
        <f>SUM(F151,H151)</f>
        <v>237.35</v>
      </c>
      <c r="F151" s="149">
        <f>SUM(F153:F154)</f>
        <v>237.35</v>
      </c>
      <c r="G151" s="150">
        <f>SUM(G153:G154)</f>
        <v>203.73000000000002</v>
      </c>
      <c r="H151" s="151">
        <f>SUM(H153:H154)</f>
        <v>0</v>
      </c>
      <c r="I151" s="148">
        <f>SUM(J151,L151)</f>
        <v>3</v>
      </c>
      <c r="J151" s="149">
        <f>SUM(J153:J154)</f>
        <v>3</v>
      </c>
      <c r="K151" s="150">
        <f>SUM(K153:K154)</f>
        <v>0</v>
      </c>
      <c r="L151" s="151">
        <f>SUM(L153:L154)</f>
        <v>0</v>
      </c>
      <c r="M151" s="148">
        <f>SUM(N151,P151)</f>
        <v>0</v>
      </c>
      <c r="N151" s="149">
        <f>SUM(N153:N154)</f>
        <v>0</v>
      </c>
      <c r="O151" s="150">
        <f>SUM(O153:O154)</f>
        <v>0</v>
      </c>
      <c r="P151" s="151">
        <f>SUM(P153:P154)</f>
        <v>0</v>
      </c>
      <c r="Q151" s="148">
        <f>SUM(R151,T151)</f>
        <v>0</v>
      </c>
      <c r="R151" s="149">
        <f>SUM(R153:R154)</f>
        <v>0</v>
      </c>
      <c r="S151" s="150">
        <f>SUM(S153:S154)</f>
        <v>0</v>
      </c>
      <c r="T151" s="151">
        <f>SUM(T153:T154)</f>
        <v>0</v>
      </c>
      <c r="U151" s="148">
        <f>SUM(V151,X151)</f>
        <v>237.35</v>
      </c>
      <c r="V151" s="149">
        <f>SUM(V153:V154)</f>
        <v>237.35</v>
      </c>
      <c r="W151" s="150">
        <f>SUM(W153:W154)</f>
        <v>203.73000000000002</v>
      </c>
      <c r="X151" s="151">
        <f>SUM(X153:X154)</f>
        <v>0</v>
      </c>
      <c r="Y151" s="148">
        <f>SUM(Z151,AB151)</f>
        <v>3</v>
      </c>
      <c r="Z151" s="149">
        <f>SUM(Z153:Z154)</f>
        <v>3</v>
      </c>
      <c r="AA151" s="150">
        <f>SUM(AA153:AA154)</f>
        <v>0</v>
      </c>
      <c r="AB151" s="151">
        <f>SUM(AB153:AB154)</f>
        <v>0</v>
      </c>
      <c r="AC151" s="148">
        <f>SUM(AD151,AF151)</f>
        <v>0</v>
      </c>
      <c r="AD151" s="149">
        <f>SUM(AD153:AD154)</f>
        <v>0</v>
      </c>
      <c r="AE151" s="150">
        <f>SUM(AE153:AE154)</f>
        <v>0</v>
      </c>
      <c r="AF151" s="151">
        <f>SUM(AF153:AF154)</f>
        <v>0</v>
      </c>
      <c r="AG151" s="148">
        <f>SUM(AH151,AJ151)</f>
        <v>0</v>
      </c>
      <c r="AH151" s="149">
        <f>SUM(AH153:AH154)</f>
        <v>0</v>
      </c>
      <c r="AI151" s="150">
        <f>SUM(AI153:AI154)</f>
        <v>0</v>
      </c>
      <c r="AJ151" s="151">
        <f>SUM(AJ153:AJ154)</f>
        <v>0</v>
      </c>
      <c r="AK151" s="148">
        <f>SUM(AL151,AN151)</f>
        <v>237.35</v>
      </c>
      <c r="AL151" s="149">
        <f>SUM(AL153:AL154)</f>
        <v>237.35</v>
      </c>
      <c r="AM151" s="150">
        <f>SUM(AM153:AM154)</f>
        <v>203.73000000000002</v>
      </c>
      <c r="AN151" s="151">
        <f>SUM(AN153:AN154)</f>
        <v>0</v>
      </c>
      <c r="AO151" s="148">
        <f>SUM(AP151,AR151)</f>
        <v>3</v>
      </c>
      <c r="AP151" s="149">
        <f>SUM(AP153:AP154)</f>
        <v>3</v>
      </c>
      <c r="AQ151" s="150">
        <f>SUM(AQ153:AQ154)</f>
        <v>0</v>
      </c>
      <c r="AR151" s="151">
        <f>SUM(AR153:AR154)</f>
        <v>0</v>
      </c>
      <c r="AS151" s="148">
        <f>SUM(AT151,AV151)</f>
        <v>0</v>
      </c>
      <c r="AT151" s="149">
        <f>SUM(AT153:AT154)</f>
        <v>0</v>
      </c>
      <c r="AU151" s="150">
        <f>SUM(AU153:AU154)</f>
        <v>0</v>
      </c>
      <c r="AV151" s="151">
        <f>SUM(AV153:AV154)</f>
        <v>0</v>
      </c>
      <c r="AW151" s="148">
        <f>SUM(AX151,AZ151)</f>
        <v>0</v>
      </c>
      <c r="AX151" s="149">
        <f>SUM(AX153:AX154)</f>
        <v>0</v>
      </c>
      <c r="AY151" s="150">
        <f>SUM(AY153:AY154)</f>
        <v>0</v>
      </c>
      <c r="AZ151" s="151">
        <f>SUM(AZ153:AZ154)</f>
        <v>0</v>
      </c>
      <c r="BA151" s="148">
        <f>SUM(BB151,BD151)</f>
        <v>237.35</v>
      </c>
      <c r="BB151" s="149">
        <f>SUM(BB153:BB154)</f>
        <v>237.35</v>
      </c>
      <c r="BC151" s="150">
        <f>SUM(BC153:BC154)</f>
        <v>203.73000000000002</v>
      </c>
      <c r="BD151" s="151">
        <f>SUM(BD153:BD154)</f>
        <v>0</v>
      </c>
      <c r="BE151" s="148">
        <f>SUM(BF151,BH151)</f>
        <v>3</v>
      </c>
      <c r="BF151" s="149">
        <f>SUM(BF153:BF154)</f>
        <v>3</v>
      </c>
      <c r="BG151" s="150">
        <f>SUM(BG153:BG154)</f>
        <v>0</v>
      </c>
      <c r="BH151" s="151">
        <f>SUM(BH153:BH154)</f>
        <v>0</v>
      </c>
      <c r="BI151" s="148">
        <f>SUM(BJ151,BL151)</f>
        <v>0</v>
      </c>
      <c r="BJ151" s="149">
        <f>SUM(BJ153:BJ154)</f>
        <v>0</v>
      </c>
      <c r="BK151" s="150">
        <f>SUM(BK153:BK154)</f>
        <v>0</v>
      </c>
      <c r="BL151" s="151">
        <f>SUM(BL153:BL154)</f>
        <v>0</v>
      </c>
      <c r="BM151" s="148">
        <f>SUM(BN151,BP151)</f>
        <v>0</v>
      </c>
      <c r="BN151" s="149">
        <f>SUM(BN153:BN154)</f>
        <v>0</v>
      </c>
      <c r="BO151" s="150">
        <f>SUM(BO153:BO154)</f>
        <v>0</v>
      </c>
      <c r="BP151" s="151">
        <f>SUM(BP153:BP154)</f>
        <v>0</v>
      </c>
      <c r="BQ151" s="148">
        <f>SUM(BR151,BT151)</f>
        <v>237.35</v>
      </c>
      <c r="BR151" s="149">
        <f>SUM(BR153:BR154)</f>
        <v>237.35</v>
      </c>
      <c r="BS151" s="150">
        <f>SUM(BS153:BS154)</f>
        <v>203.73000000000002</v>
      </c>
      <c r="BT151" s="151">
        <f>SUM(BT153:BT154)</f>
        <v>0</v>
      </c>
      <c r="BU151" s="148">
        <f>SUM(BV151,BX151)</f>
        <v>3</v>
      </c>
      <c r="BV151" s="149">
        <f>SUM(BV153:BV154)</f>
        <v>3</v>
      </c>
      <c r="BW151" s="150">
        <f>SUM(BW153:BW154)</f>
        <v>0</v>
      </c>
      <c r="BX151" s="151">
        <f>SUM(BX153:BX154)</f>
        <v>0</v>
      </c>
      <c r="BY151" s="175">
        <f>SUM(BZ151,CB151)</f>
        <v>4.8600000000000003</v>
      </c>
      <c r="BZ151" s="176">
        <f>SUM(BZ153:BZ155)</f>
        <v>0</v>
      </c>
      <c r="CA151" s="177">
        <f>SUM(CA153:CA154)</f>
        <v>0</v>
      </c>
      <c r="CB151" s="178">
        <f>SUM(CB153:CB155)</f>
        <v>4.8600000000000003</v>
      </c>
      <c r="CC151" s="175">
        <f>SUM(CD151,CF151)</f>
        <v>4.8600000000000003</v>
      </c>
      <c r="CD151" s="176">
        <f>SUM(CD153:CD154)</f>
        <v>0</v>
      </c>
      <c r="CE151" s="177">
        <f>SUM(CE153:CE154)</f>
        <v>0</v>
      </c>
      <c r="CF151" s="178">
        <f>SUM(CF153:CF155)</f>
        <v>4.8600000000000003</v>
      </c>
      <c r="CG151" s="148">
        <f>SUM(CH151,CJ151)</f>
        <v>242.21</v>
      </c>
      <c r="CH151" s="149">
        <f>SUM(CH153:CH154)</f>
        <v>237.35</v>
      </c>
      <c r="CI151" s="150">
        <f>SUM(CI153:CI154)</f>
        <v>203.73000000000002</v>
      </c>
      <c r="CJ151" s="151">
        <f>SUM(CJ153:CJ155)</f>
        <v>4.8600000000000003</v>
      </c>
      <c r="CK151" s="148">
        <f>SUM(CL151,CN151)</f>
        <v>7.86</v>
      </c>
      <c r="CL151" s="149">
        <f>SUM(CL153:CL155)</f>
        <v>3</v>
      </c>
      <c r="CM151" s="150">
        <f t="shared" ref="CM151" si="1508">SUM(CM153:CM154)</f>
        <v>0</v>
      </c>
      <c r="CN151" s="151">
        <f>SUM(CN153:CN155)</f>
        <v>4.8600000000000003</v>
      </c>
      <c r="CO151" s="175">
        <f>SUM(CP151,CR151)</f>
        <v>0.8</v>
      </c>
      <c r="CP151" s="176">
        <f>SUM(CP153:CP155)</f>
        <v>0.8</v>
      </c>
      <c r="CQ151" s="177">
        <f>SUM(CQ153:CQ154)</f>
        <v>-0.6</v>
      </c>
      <c r="CR151" s="178">
        <f>SUM(CR153:CR155)</f>
        <v>0</v>
      </c>
      <c r="CS151" s="175">
        <f>SUM(CT151,CV151)</f>
        <v>0</v>
      </c>
      <c r="CT151" s="176">
        <f>SUM(CT153:CT154)</f>
        <v>0</v>
      </c>
      <c r="CU151" s="177">
        <f>SUM(CU153:CU154)</f>
        <v>0</v>
      </c>
      <c r="CV151" s="178">
        <f>SUM(CV153:CV155)</f>
        <v>0</v>
      </c>
      <c r="CW151" s="148">
        <f>SUM(CX151,CZ151)</f>
        <v>243.01000000000002</v>
      </c>
      <c r="CX151" s="149">
        <f>SUM(CX153:CX154)</f>
        <v>238.15</v>
      </c>
      <c r="CY151" s="150">
        <f>SUM(CY153:CY154)</f>
        <v>203.13000000000002</v>
      </c>
      <c r="CZ151" s="151">
        <f>SUM(CZ153:CZ155)</f>
        <v>4.8600000000000003</v>
      </c>
      <c r="DA151" s="148">
        <f>SUM(DB151,DD151)</f>
        <v>7.86</v>
      </c>
      <c r="DB151" s="149">
        <f>SUM(DB153:DB155)</f>
        <v>3</v>
      </c>
      <c r="DC151" s="150">
        <f t="shared" ref="DC151" si="1509">SUM(DC153:DC154)</f>
        <v>0</v>
      </c>
      <c r="DD151" s="151">
        <f>SUM(DD153:DD155)</f>
        <v>4.8600000000000003</v>
      </c>
      <c r="DE151" s="175">
        <f>SUM(DF151,DH151)</f>
        <v>0</v>
      </c>
      <c r="DF151" s="176">
        <f>SUM(DF153:DF155)</f>
        <v>0</v>
      </c>
      <c r="DG151" s="177">
        <f>SUM(DG153:DG154)</f>
        <v>0</v>
      </c>
      <c r="DH151" s="178">
        <f>SUM(DH153:DH155)</f>
        <v>0</v>
      </c>
      <c r="DI151" s="175">
        <f>SUM(DJ151,DL151)</f>
        <v>0</v>
      </c>
      <c r="DJ151" s="176">
        <f>SUM(DJ153:DJ154)</f>
        <v>0</v>
      </c>
      <c r="DK151" s="177">
        <f>SUM(DK153:DK154)</f>
        <v>0</v>
      </c>
      <c r="DL151" s="178">
        <f>SUM(DL153:DL155)</f>
        <v>0</v>
      </c>
      <c r="DM151" s="148">
        <f>SUM(DN151,DP151)</f>
        <v>243.01000000000002</v>
      </c>
      <c r="DN151" s="149">
        <f>SUM(DN153:DN154)</f>
        <v>238.15</v>
      </c>
      <c r="DO151" s="150">
        <f>SUM(DO153:DO154)</f>
        <v>203.13000000000002</v>
      </c>
      <c r="DP151" s="151">
        <f>SUM(DP153:DP155)</f>
        <v>4.8600000000000003</v>
      </c>
      <c r="DQ151" s="148">
        <f>SUM(DR151,DT151)</f>
        <v>7.86</v>
      </c>
      <c r="DR151" s="149">
        <f>SUM(DR153:DR155)</f>
        <v>3</v>
      </c>
      <c r="DS151" s="150">
        <f t="shared" ref="DS151" si="1510">SUM(DS153:DS154)</f>
        <v>0</v>
      </c>
      <c r="DT151" s="151">
        <f>SUM(DT153:DT155)</f>
        <v>4.8600000000000003</v>
      </c>
      <c r="DU151" s="175">
        <f>SUM(DV151,DX151)</f>
        <v>0.20000000000000018</v>
      </c>
      <c r="DV151" s="176">
        <f>SUM(DV153:DV155)</f>
        <v>-3.8</v>
      </c>
      <c r="DW151" s="177">
        <f>SUM(DW153:DW154)</f>
        <v>-4.5999999999999996</v>
      </c>
      <c r="DX151" s="178">
        <f>SUM(DX153:DX155)</f>
        <v>4</v>
      </c>
      <c r="DY151" s="175">
        <f>SUM(DZ151,EB151)</f>
        <v>0</v>
      </c>
      <c r="DZ151" s="176">
        <f>SUM(DZ153:DZ154)</f>
        <v>0</v>
      </c>
      <c r="EA151" s="177">
        <f>SUM(EA153:EA154)</f>
        <v>0</v>
      </c>
      <c r="EB151" s="178">
        <f>SUM(EB153:EB155)</f>
        <v>0</v>
      </c>
      <c r="EC151" s="148">
        <f>SUM(ED151,EF151)</f>
        <v>243.20999999999998</v>
      </c>
      <c r="ED151" s="149">
        <f>SUM(ED153:ED154)</f>
        <v>234.35</v>
      </c>
      <c r="EE151" s="150">
        <f>SUM(EE153:EE154)</f>
        <v>198.53000000000003</v>
      </c>
      <c r="EF151" s="151">
        <f>SUM(EF153:EF155)</f>
        <v>8.86</v>
      </c>
      <c r="EG151" s="148">
        <f>SUM(EH151,EJ151)</f>
        <v>7.86</v>
      </c>
      <c r="EH151" s="149">
        <f>SUM(EH153:EH155)</f>
        <v>3</v>
      </c>
      <c r="EI151" s="150">
        <f t="shared" ref="EI151" si="1511">SUM(EI153:EI154)</f>
        <v>0</v>
      </c>
      <c r="EJ151" s="151">
        <f>SUM(EJ153:EJ155)</f>
        <v>4.8600000000000003</v>
      </c>
      <c r="EK151" s="155">
        <f t="shared" si="1402"/>
        <v>30.99199999999999</v>
      </c>
      <c r="EL151" s="155">
        <f t="shared" si="1403"/>
        <v>25.132000000000005</v>
      </c>
      <c r="EM151" s="148">
        <f>SUM(EN151,EP151)</f>
        <v>268.34199999999998</v>
      </c>
      <c r="EN151" s="149">
        <f>SUM(EN153:EN154)</f>
        <v>268.34199999999998</v>
      </c>
      <c r="EO151" s="150">
        <f>SUM(EO153:EO154)</f>
        <v>230.62</v>
      </c>
      <c r="EP151" s="151">
        <f>SUM(EP153:EP154)</f>
        <v>0</v>
      </c>
      <c r="EQ151" s="148">
        <f>SUM(ER151,ET151)</f>
        <v>5.742</v>
      </c>
      <c r="ER151" s="149">
        <f>SUM(ER153:ER154)</f>
        <v>5.742</v>
      </c>
      <c r="ES151" s="150">
        <f>SUM(ES153:ES154)</f>
        <v>0</v>
      </c>
      <c r="ET151" s="151">
        <f>SUM(ET153:ET154)</f>
        <v>0</v>
      </c>
    </row>
    <row r="152" spans="1:150" ht="17.399999999999999" customHeight="1" x14ac:dyDescent="0.3">
      <c r="A152" s="50"/>
      <c r="B152" s="6" t="s">
        <v>2</v>
      </c>
      <c r="C152" s="51"/>
      <c r="D152" s="94"/>
      <c r="E152" s="105"/>
      <c r="F152" s="106"/>
      <c r="G152" s="107"/>
      <c r="H152" s="108"/>
      <c r="I152" s="105"/>
      <c r="J152" s="106"/>
      <c r="K152" s="107"/>
      <c r="L152" s="108"/>
      <c r="M152" s="105"/>
      <c r="N152" s="106"/>
      <c r="O152" s="107"/>
      <c r="P152" s="108"/>
      <c r="Q152" s="105"/>
      <c r="R152" s="106"/>
      <c r="S152" s="107"/>
      <c r="T152" s="108"/>
      <c r="U152" s="105"/>
      <c r="V152" s="106"/>
      <c r="W152" s="107"/>
      <c r="X152" s="108"/>
      <c r="Y152" s="105"/>
      <c r="Z152" s="106"/>
      <c r="AA152" s="107"/>
      <c r="AB152" s="108"/>
      <c r="AC152" s="105"/>
      <c r="AD152" s="106"/>
      <c r="AE152" s="107"/>
      <c r="AF152" s="108"/>
      <c r="AG152" s="105"/>
      <c r="AH152" s="106"/>
      <c r="AI152" s="107"/>
      <c r="AJ152" s="108"/>
      <c r="AK152" s="105"/>
      <c r="AL152" s="106"/>
      <c r="AM152" s="107"/>
      <c r="AN152" s="108"/>
      <c r="AO152" s="105"/>
      <c r="AP152" s="106"/>
      <c r="AQ152" s="107"/>
      <c r="AR152" s="108"/>
      <c r="AS152" s="105"/>
      <c r="AT152" s="106"/>
      <c r="AU152" s="107"/>
      <c r="AV152" s="108"/>
      <c r="AW152" s="105"/>
      <c r="AX152" s="106"/>
      <c r="AY152" s="107"/>
      <c r="AZ152" s="108"/>
      <c r="BA152" s="105"/>
      <c r="BB152" s="106"/>
      <c r="BC152" s="107"/>
      <c r="BD152" s="108"/>
      <c r="BE152" s="105"/>
      <c r="BF152" s="106"/>
      <c r="BG152" s="107"/>
      <c r="BH152" s="108"/>
      <c r="BI152" s="105"/>
      <c r="BJ152" s="106"/>
      <c r="BK152" s="107"/>
      <c r="BL152" s="108"/>
      <c r="BM152" s="105"/>
      <c r="BN152" s="106"/>
      <c r="BO152" s="107"/>
      <c r="BP152" s="108"/>
      <c r="BQ152" s="105"/>
      <c r="BR152" s="106"/>
      <c r="BS152" s="107"/>
      <c r="BT152" s="108"/>
      <c r="BU152" s="105"/>
      <c r="BV152" s="106"/>
      <c r="BW152" s="107"/>
      <c r="BX152" s="108"/>
      <c r="BY152" s="164"/>
      <c r="BZ152" s="147"/>
      <c r="CA152" s="161"/>
      <c r="CB152" s="162"/>
      <c r="CC152" s="164"/>
      <c r="CD152" s="147"/>
      <c r="CE152" s="161"/>
      <c r="CF152" s="162"/>
      <c r="CG152" s="105"/>
      <c r="CH152" s="106"/>
      <c r="CI152" s="107"/>
      <c r="CJ152" s="108"/>
      <c r="CK152" s="105"/>
      <c r="CL152" s="106"/>
      <c r="CM152" s="107"/>
      <c r="CN152" s="108"/>
      <c r="CO152" s="164"/>
      <c r="CP152" s="147"/>
      <c r="CQ152" s="161"/>
      <c r="CR152" s="162"/>
      <c r="CS152" s="164"/>
      <c r="CT152" s="147"/>
      <c r="CU152" s="161"/>
      <c r="CV152" s="162"/>
      <c r="CW152" s="105"/>
      <c r="CX152" s="106"/>
      <c r="CY152" s="107"/>
      <c r="CZ152" s="108"/>
      <c r="DA152" s="105"/>
      <c r="DB152" s="106"/>
      <c r="DC152" s="107"/>
      <c r="DD152" s="108"/>
      <c r="DE152" s="164"/>
      <c r="DF152" s="147"/>
      <c r="DG152" s="161"/>
      <c r="DH152" s="162"/>
      <c r="DI152" s="164"/>
      <c r="DJ152" s="147"/>
      <c r="DK152" s="161"/>
      <c r="DL152" s="162"/>
      <c r="DM152" s="105"/>
      <c r="DN152" s="106"/>
      <c r="DO152" s="107"/>
      <c r="DP152" s="108"/>
      <c r="DQ152" s="105"/>
      <c r="DR152" s="106"/>
      <c r="DS152" s="107"/>
      <c r="DT152" s="108"/>
      <c r="DU152" s="164"/>
      <c r="DV152" s="147"/>
      <c r="DW152" s="161"/>
      <c r="DX152" s="162"/>
      <c r="DY152" s="164"/>
      <c r="DZ152" s="147"/>
      <c r="EA152" s="161"/>
      <c r="EB152" s="162"/>
      <c r="EC152" s="105"/>
      <c r="ED152" s="106"/>
      <c r="EE152" s="107"/>
      <c r="EF152" s="108"/>
      <c r="EG152" s="105"/>
      <c r="EH152" s="106"/>
      <c r="EI152" s="107"/>
      <c r="EJ152" s="108"/>
      <c r="EK152" s="153">
        <f t="shared" si="1402"/>
        <v>0</v>
      </c>
      <c r="EL152" s="153">
        <f t="shared" si="1403"/>
        <v>0</v>
      </c>
      <c r="EM152" s="105"/>
      <c r="EN152" s="106"/>
      <c r="EO152" s="107"/>
      <c r="EP152" s="108"/>
      <c r="EQ152" s="105"/>
      <c r="ER152" s="106"/>
      <c r="ES152" s="107"/>
      <c r="ET152" s="108"/>
    </row>
    <row r="153" spans="1:150" s="4" customFormat="1" ht="21.65" customHeight="1" x14ac:dyDescent="0.25">
      <c r="A153" s="704" t="s">
        <v>31</v>
      </c>
      <c r="B153" s="702" t="s">
        <v>44</v>
      </c>
      <c r="C153" s="48" t="s">
        <v>86</v>
      </c>
      <c r="D153" s="93" t="s">
        <v>37</v>
      </c>
      <c r="E153" s="105">
        <f>SUM(F153,H153)</f>
        <v>237</v>
      </c>
      <c r="F153" s="106">
        <f>J153+231.5+1+1.5</f>
        <v>237</v>
      </c>
      <c r="G153" s="107">
        <f>204.18-0.45</f>
        <v>203.73000000000002</v>
      </c>
      <c r="H153" s="108"/>
      <c r="I153" s="105">
        <f>SUM(J153,L153)</f>
        <v>3</v>
      </c>
      <c r="J153" s="106">
        <v>3</v>
      </c>
      <c r="K153" s="107"/>
      <c r="L153" s="108"/>
      <c r="M153" s="105">
        <f>SUM(N153,P153)</f>
        <v>0</v>
      </c>
      <c r="N153" s="106"/>
      <c r="O153" s="107"/>
      <c r="P153" s="108"/>
      <c r="Q153" s="105">
        <f>SUM(R153,T153)</f>
        <v>0</v>
      </c>
      <c r="R153" s="106"/>
      <c r="S153" s="107"/>
      <c r="T153" s="108"/>
      <c r="U153" s="105">
        <f t="shared" ref="U153" si="1512">SUM(V153,X153)</f>
        <v>237</v>
      </c>
      <c r="V153" s="106">
        <f t="shared" ref="V153" si="1513">F153+N153</f>
        <v>237</v>
      </c>
      <c r="W153" s="107">
        <f t="shared" ref="W153" si="1514">G153+O153</f>
        <v>203.73000000000002</v>
      </c>
      <c r="X153" s="108">
        <f t="shared" ref="X153" si="1515">H153+P153</f>
        <v>0</v>
      </c>
      <c r="Y153" s="105">
        <f t="shared" ref="Y153" si="1516">SUM(Z153,AB153)</f>
        <v>3</v>
      </c>
      <c r="Z153" s="106">
        <f t="shared" ref="Z153" si="1517">J153+R153</f>
        <v>3</v>
      </c>
      <c r="AA153" s="107">
        <f t="shared" ref="AA153" si="1518">K153+S153</f>
        <v>0</v>
      </c>
      <c r="AB153" s="108">
        <f t="shared" ref="AB153" si="1519">L153+T153</f>
        <v>0</v>
      </c>
      <c r="AC153" s="105">
        <f>SUM(AD153,AF153)</f>
        <v>0</v>
      </c>
      <c r="AD153" s="106"/>
      <c r="AE153" s="107"/>
      <c r="AF153" s="108"/>
      <c r="AG153" s="105">
        <f>SUM(AH153,AJ153)</f>
        <v>0</v>
      </c>
      <c r="AH153" s="106"/>
      <c r="AI153" s="107"/>
      <c r="AJ153" s="108"/>
      <c r="AK153" s="105">
        <f t="shared" ref="AK153:AK154" si="1520">SUM(AL153,AN153)</f>
        <v>237</v>
      </c>
      <c r="AL153" s="106">
        <f t="shared" ref="AL153:AL154" si="1521">V153+AD153</f>
        <v>237</v>
      </c>
      <c r="AM153" s="107">
        <f t="shared" ref="AM153:AM154" si="1522">W153+AE153</f>
        <v>203.73000000000002</v>
      </c>
      <c r="AN153" s="108">
        <f t="shared" ref="AN153:AN154" si="1523">X153+AF153</f>
        <v>0</v>
      </c>
      <c r="AO153" s="105">
        <f t="shared" ref="AO153:AO154" si="1524">SUM(AP153,AR153)</f>
        <v>3</v>
      </c>
      <c r="AP153" s="106">
        <f t="shared" ref="AP153:AP154" si="1525">Z153+AH153</f>
        <v>3</v>
      </c>
      <c r="AQ153" s="107">
        <f t="shared" ref="AQ153:AQ154" si="1526">AA153+AI153</f>
        <v>0</v>
      </c>
      <c r="AR153" s="108">
        <f t="shared" ref="AR153:AR154" si="1527">AB153+AJ153</f>
        <v>0</v>
      </c>
      <c r="AS153" s="105">
        <f>SUM(AT153,AV153)</f>
        <v>0</v>
      </c>
      <c r="AT153" s="106"/>
      <c r="AU153" s="107"/>
      <c r="AV153" s="108"/>
      <c r="AW153" s="105">
        <f>SUM(AX153,AZ153)</f>
        <v>0</v>
      </c>
      <c r="AX153" s="106"/>
      <c r="AY153" s="107"/>
      <c r="AZ153" s="108"/>
      <c r="BA153" s="105">
        <f t="shared" ref="BA153:BA154" si="1528">SUM(BB153,BD153)</f>
        <v>237</v>
      </c>
      <c r="BB153" s="106">
        <f t="shared" ref="BB153:BB154" si="1529">AL153+AT153</f>
        <v>237</v>
      </c>
      <c r="BC153" s="107">
        <f t="shared" ref="BC153:BC154" si="1530">AM153+AU153</f>
        <v>203.73000000000002</v>
      </c>
      <c r="BD153" s="108">
        <f t="shared" ref="BD153:BD154" si="1531">AN153+AV153</f>
        <v>0</v>
      </c>
      <c r="BE153" s="105">
        <f t="shared" ref="BE153:BE154" si="1532">SUM(BF153,BH153)</f>
        <v>3</v>
      </c>
      <c r="BF153" s="106">
        <f t="shared" ref="BF153:BF154" si="1533">AP153+AX153</f>
        <v>3</v>
      </c>
      <c r="BG153" s="107">
        <f t="shared" ref="BG153:BG154" si="1534">AQ153+AY153</f>
        <v>0</v>
      </c>
      <c r="BH153" s="108">
        <f t="shared" ref="BH153:BH154" si="1535">AR153+AZ153</f>
        <v>0</v>
      </c>
      <c r="BI153" s="105">
        <f>SUM(BJ153,BL153)</f>
        <v>0</v>
      </c>
      <c r="BJ153" s="106"/>
      <c r="BK153" s="107"/>
      <c r="BL153" s="108"/>
      <c r="BM153" s="105">
        <f>SUM(BN153,BP153)</f>
        <v>0</v>
      </c>
      <c r="BN153" s="106"/>
      <c r="BO153" s="107"/>
      <c r="BP153" s="108"/>
      <c r="BQ153" s="105">
        <f t="shared" ref="BQ153:BQ154" si="1536">SUM(BR153,BT153)</f>
        <v>237</v>
      </c>
      <c r="BR153" s="106">
        <f t="shared" ref="BR153:BR154" si="1537">BB153+BJ153</f>
        <v>237</v>
      </c>
      <c r="BS153" s="107">
        <f t="shared" ref="BS153:BS154" si="1538">BC153+BK153</f>
        <v>203.73000000000002</v>
      </c>
      <c r="BT153" s="108">
        <f t="shared" ref="BT153:BT154" si="1539">BD153+BL153</f>
        <v>0</v>
      </c>
      <c r="BU153" s="105">
        <f>SUM(BV153,BX153)</f>
        <v>3</v>
      </c>
      <c r="BV153" s="106">
        <f t="shared" ref="BV153:BV154" si="1540">BF153+BN153</f>
        <v>3</v>
      </c>
      <c r="BW153" s="107">
        <f t="shared" ref="BW153:BW154" si="1541">BG153+BO153</f>
        <v>0</v>
      </c>
      <c r="BX153" s="108">
        <f t="shared" ref="BX153:BX154" si="1542">BH153+BP153</f>
        <v>0</v>
      </c>
      <c r="BY153" s="164">
        <f>SUM(BZ153,CB153)</f>
        <v>0</v>
      </c>
      <c r="BZ153" s="147"/>
      <c r="CA153" s="161"/>
      <c r="CB153" s="162"/>
      <c r="CC153" s="164">
        <f>SUM(CD153,CF153)</f>
        <v>0</v>
      </c>
      <c r="CD153" s="147"/>
      <c r="CE153" s="161"/>
      <c r="CF153" s="162"/>
      <c r="CG153" s="105">
        <f t="shared" ref="CG153:CG154" si="1543">SUM(CH153,CJ153)</f>
        <v>237</v>
      </c>
      <c r="CH153" s="106">
        <f t="shared" ref="CH153:CH154" si="1544">BR153+BZ153</f>
        <v>237</v>
      </c>
      <c r="CI153" s="107">
        <f t="shared" ref="CI153:CI154" si="1545">BS153+CA153</f>
        <v>203.73000000000002</v>
      </c>
      <c r="CJ153" s="108">
        <f t="shared" ref="CJ153:CJ154" si="1546">BT153+CB153</f>
        <v>0</v>
      </c>
      <c r="CK153" s="105">
        <f t="shared" ref="CK153:CK154" si="1547">SUM(CL153,CN153)</f>
        <v>3</v>
      </c>
      <c r="CL153" s="106">
        <f t="shared" ref="CL153:CL154" si="1548">BV153+CD153</f>
        <v>3</v>
      </c>
      <c r="CM153" s="107">
        <f t="shared" ref="CM153:CM154" si="1549">BW153+CE153</f>
        <v>0</v>
      </c>
      <c r="CN153" s="108">
        <f t="shared" ref="CN153:CN154" si="1550">BX153+CF153</f>
        <v>0</v>
      </c>
      <c r="CO153" s="164">
        <f>SUM(CP153,CR153)</f>
        <v>0</v>
      </c>
      <c r="CP153" s="147"/>
      <c r="CQ153" s="161">
        <v>-0.6</v>
      </c>
      <c r="CR153" s="162"/>
      <c r="CS153" s="164">
        <f>SUM(CT153,CV153)</f>
        <v>0</v>
      </c>
      <c r="CT153" s="147"/>
      <c r="CU153" s="161"/>
      <c r="CV153" s="162"/>
      <c r="CW153" s="105">
        <f t="shared" ref="CW153:CW155" si="1551">SUM(CX153,CZ153)</f>
        <v>237</v>
      </c>
      <c r="CX153" s="106">
        <f t="shared" ref="CX153:CX155" si="1552">CH153+CP153</f>
        <v>237</v>
      </c>
      <c r="CY153" s="107">
        <f t="shared" ref="CY153:CY155" si="1553">CI153+CQ153</f>
        <v>203.13000000000002</v>
      </c>
      <c r="CZ153" s="108">
        <f t="shared" ref="CZ153:CZ155" si="1554">CJ153+CR153</f>
        <v>0</v>
      </c>
      <c r="DA153" s="105">
        <f t="shared" ref="DA153:DA155" si="1555">SUM(DB153,DD153)</f>
        <v>3</v>
      </c>
      <c r="DB153" s="106">
        <f t="shared" ref="DB153:DB155" si="1556">CL153+CT153</f>
        <v>3</v>
      </c>
      <c r="DC153" s="107">
        <f t="shared" ref="DC153:DC155" si="1557">CM153+CU153</f>
        <v>0</v>
      </c>
      <c r="DD153" s="108">
        <f t="shared" ref="DD153:DD155" si="1558">CN153+CV153</f>
        <v>0</v>
      </c>
      <c r="DE153" s="164">
        <f>SUM(DF153,DH153)</f>
        <v>0</v>
      </c>
      <c r="DF153" s="147"/>
      <c r="DG153" s="161"/>
      <c r="DH153" s="162"/>
      <c r="DI153" s="164">
        <f>SUM(DJ153,DL153)</f>
        <v>0</v>
      </c>
      <c r="DJ153" s="147"/>
      <c r="DK153" s="161"/>
      <c r="DL153" s="162"/>
      <c r="DM153" s="105">
        <f t="shared" ref="DM153:DM155" si="1559">SUM(DN153,DP153)</f>
        <v>237</v>
      </c>
      <c r="DN153" s="106">
        <f t="shared" ref="DN153:DN155" si="1560">CX153+DF153</f>
        <v>237</v>
      </c>
      <c r="DO153" s="107">
        <f t="shared" ref="DO153:DO155" si="1561">CY153+DG153</f>
        <v>203.13000000000002</v>
      </c>
      <c r="DP153" s="108">
        <f t="shared" ref="DP153:DP155" si="1562">CZ153+DH153</f>
        <v>0</v>
      </c>
      <c r="DQ153" s="105">
        <f t="shared" ref="DQ153:DQ155" si="1563">SUM(DR153,DT153)</f>
        <v>3</v>
      </c>
      <c r="DR153" s="106">
        <f t="shared" ref="DR153:DR155" si="1564">DB153+DJ153</f>
        <v>3</v>
      </c>
      <c r="DS153" s="107">
        <f t="shared" ref="DS153:DS155" si="1565">DC153+DK153</f>
        <v>0</v>
      </c>
      <c r="DT153" s="108">
        <f t="shared" ref="DT153:DT155" si="1566">DD153+DL153</f>
        <v>0</v>
      </c>
      <c r="DU153" s="164">
        <f>SUM(DV153,DX153)</f>
        <v>0</v>
      </c>
      <c r="DV153" s="147">
        <v>-4</v>
      </c>
      <c r="DW153" s="161">
        <v>-4.5999999999999996</v>
      </c>
      <c r="DX153" s="162">
        <v>4</v>
      </c>
      <c r="DY153" s="164">
        <f>SUM(DZ153,EB153)</f>
        <v>0</v>
      </c>
      <c r="DZ153" s="147"/>
      <c r="EA153" s="161"/>
      <c r="EB153" s="162"/>
      <c r="EC153" s="105">
        <f t="shared" ref="EC153:EC155" si="1567">SUM(ED153,EF153)</f>
        <v>237</v>
      </c>
      <c r="ED153" s="106">
        <f t="shared" ref="ED153:ED155" si="1568">DN153+DV153</f>
        <v>233</v>
      </c>
      <c r="EE153" s="107">
        <f t="shared" ref="EE153:EE155" si="1569">DO153+DW153</f>
        <v>198.53000000000003</v>
      </c>
      <c r="EF153" s="108">
        <f t="shared" ref="EF153:EF155" si="1570">DP153+DX153</f>
        <v>4</v>
      </c>
      <c r="EG153" s="105">
        <f t="shared" ref="EG153:EG155" si="1571">SUM(EH153,EJ153)</f>
        <v>3</v>
      </c>
      <c r="EH153" s="106">
        <f t="shared" ref="EH153:EH155" si="1572">DR153+DZ153</f>
        <v>3</v>
      </c>
      <c r="EI153" s="107">
        <f t="shared" ref="EI153:EI155" si="1573">DS153+EA153</f>
        <v>0</v>
      </c>
      <c r="EJ153" s="108">
        <f t="shared" ref="EJ153:EJ155" si="1574">DT153+EB153</f>
        <v>0</v>
      </c>
      <c r="EK153" s="163">
        <f t="shared" si="1402"/>
        <v>30.099999999999966</v>
      </c>
      <c r="EL153" s="163">
        <f t="shared" si="1403"/>
        <v>30.099999999999966</v>
      </c>
      <c r="EM153" s="105">
        <f>SUM(EN153,EP153)</f>
        <v>267.09999999999997</v>
      </c>
      <c r="EN153" s="106">
        <f>259.7+1.7+ER153</f>
        <v>267.09999999999997</v>
      </c>
      <c r="EO153" s="107">
        <f>231.6-0.98</f>
        <v>230.62</v>
      </c>
      <c r="EP153" s="108"/>
      <c r="EQ153" s="164">
        <f>SUM(ER153,ET153)</f>
        <v>5.7</v>
      </c>
      <c r="ER153" s="147">
        <v>5.7</v>
      </c>
      <c r="ES153" s="107"/>
      <c r="ET153" s="108"/>
    </row>
    <row r="154" spans="1:150" s="4" customFormat="1" ht="21.65" customHeight="1" x14ac:dyDescent="0.25">
      <c r="A154" s="716"/>
      <c r="B154" s="719"/>
      <c r="C154" s="48" t="s">
        <v>87</v>
      </c>
      <c r="D154" s="139" t="s">
        <v>52</v>
      </c>
      <c r="E154" s="105">
        <f>SUM(F154,H154)</f>
        <v>0.35</v>
      </c>
      <c r="F154" s="106">
        <f>J154+0.35</f>
        <v>0.35</v>
      </c>
      <c r="G154" s="107"/>
      <c r="H154" s="108"/>
      <c r="I154" s="105">
        <f>SUM(J154,L154)</f>
        <v>0</v>
      </c>
      <c r="J154" s="106"/>
      <c r="K154" s="107"/>
      <c r="L154" s="108"/>
      <c r="M154" s="105">
        <f>SUM(N154,P154)</f>
        <v>0</v>
      </c>
      <c r="N154" s="106"/>
      <c r="O154" s="107"/>
      <c r="P154" s="108"/>
      <c r="Q154" s="105">
        <f>SUM(R154,T154)</f>
        <v>0</v>
      </c>
      <c r="R154" s="106"/>
      <c r="S154" s="107"/>
      <c r="T154" s="108"/>
      <c r="U154" s="105">
        <f t="shared" ref="U154" si="1575">SUM(V154,X154)</f>
        <v>0.35</v>
      </c>
      <c r="V154" s="106">
        <f t="shared" ref="V154" si="1576">F154+N154</f>
        <v>0.35</v>
      </c>
      <c r="W154" s="107">
        <f t="shared" ref="W154" si="1577">G154+O154</f>
        <v>0</v>
      </c>
      <c r="X154" s="108">
        <f t="shared" ref="X154" si="1578">H154+P154</f>
        <v>0</v>
      </c>
      <c r="Y154" s="105">
        <f t="shared" ref="Y154" si="1579">SUM(Z154,AB154)</f>
        <v>0</v>
      </c>
      <c r="Z154" s="106">
        <f t="shared" ref="Z154" si="1580">J154+R154</f>
        <v>0</v>
      </c>
      <c r="AA154" s="107">
        <f t="shared" ref="AA154" si="1581">K154+S154</f>
        <v>0</v>
      </c>
      <c r="AB154" s="108">
        <f t="shared" ref="AB154" si="1582">L154+T154</f>
        <v>0</v>
      </c>
      <c r="AC154" s="105">
        <f>SUM(AD154,AF154)</f>
        <v>0</v>
      </c>
      <c r="AD154" s="106"/>
      <c r="AE154" s="107"/>
      <c r="AF154" s="108"/>
      <c r="AG154" s="105">
        <f>SUM(AH154,AJ154)</f>
        <v>0</v>
      </c>
      <c r="AH154" s="106"/>
      <c r="AI154" s="107"/>
      <c r="AJ154" s="108"/>
      <c r="AK154" s="105">
        <f t="shared" si="1520"/>
        <v>0.35</v>
      </c>
      <c r="AL154" s="106">
        <f t="shared" si="1521"/>
        <v>0.35</v>
      </c>
      <c r="AM154" s="107">
        <f t="shared" si="1522"/>
        <v>0</v>
      </c>
      <c r="AN154" s="108">
        <f t="shared" si="1523"/>
        <v>0</v>
      </c>
      <c r="AO154" s="105">
        <f t="shared" si="1524"/>
        <v>0</v>
      </c>
      <c r="AP154" s="106">
        <f t="shared" si="1525"/>
        <v>0</v>
      </c>
      <c r="AQ154" s="107">
        <f t="shared" si="1526"/>
        <v>0</v>
      </c>
      <c r="AR154" s="108">
        <f t="shared" si="1527"/>
        <v>0</v>
      </c>
      <c r="AS154" s="105">
        <f>SUM(AT154,AV154)</f>
        <v>0</v>
      </c>
      <c r="AT154" s="106"/>
      <c r="AU154" s="107"/>
      <c r="AV154" s="108"/>
      <c r="AW154" s="105">
        <f>SUM(AX154,AZ154)</f>
        <v>0</v>
      </c>
      <c r="AX154" s="106"/>
      <c r="AY154" s="107"/>
      <c r="AZ154" s="108"/>
      <c r="BA154" s="105">
        <f t="shared" si="1528"/>
        <v>0.35</v>
      </c>
      <c r="BB154" s="106">
        <f t="shared" si="1529"/>
        <v>0.35</v>
      </c>
      <c r="BC154" s="107">
        <f t="shared" si="1530"/>
        <v>0</v>
      </c>
      <c r="BD154" s="108">
        <f t="shared" si="1531"/>
        <v>0</v>
      </c>
      <c r="BE154" s="105">
        <f t="shared" si="1532"/>
        <v>0</v>
      </c>
      <c r="BF154" s="106">
        <f t="shared" si="1533"/>
        <v>0</v>
      </c>
      <c r="BG154" s="107">
        <f t="shared" si="1534"/>
        <v>0</v>
      </c>
      <c r="BH154" s="108">
        <f t="shared" si="1535"/>
        <v>0</v>
      </c>
      <c r="BI154" s="105">
        <f>SUM(BJ154,BL154)</f>
        <v>0</v>
      </c>
      <c r="BJ154" s="106"/>
      <c r="BK154" s="107"/>
      <c r="BL154" s="108"/>
      <c r="BM154" s="105">
        <f>SUM(BN154,BP154)</f>
        <v>0</v>
      </c>
      <c r="BN154" s="106"/>
      <c r="BO154" s="107"/>
      <c r="BP154" s="108"/>
      <c r="BQ154" s="105">
        <f t="shared" si="1536"/>
        <v>0.35</v>
      </c>
      <c r="BR154" s="106">
        <f t="shared" si="1537"/>
        <v>0.35</v>
      </c>
      <c r="BS154" s="107">
        <f t="shared" si="1538"/>
        <v>0</v>
      </c>
      <c r="BT154" s="108">
        <f t="shared" si="1539"/>
        <v>0</v>
      </c>
      <c r="BU154" s="105">
        <f t="shared" ref="BU154" si="1583">SUM(BV154,BX154)</f>
        <v>0</v>
      </c>
      <c r="BV154" s="106">
        <f t="shared" si="1540"/>
        <v>0</v>
      </c>
      <c r="BW154" s="107">
        <f t="shared" si="1541"/>
        <v>0</v>
      </c>
      <c r="BX154" s="108">
        <f t="shared" si="1542"/>
        <v>0</v>
      </c>
      <c r="BY154" s="164">
        <f>SUM(BZ154,CB154)</f>
        <v>0</v>
      </c>
      <c r="BZ154" s="147"/>
      <c r="CA154" s="161"/>
      <c r="CB154" s="162"/>
      <c r="CC154" s="164">
        <f>SUM(CD154,CF154)</f>
        <v>0</v>
      </c>
      <c r="CD154" s="147"/>
      <c r="CE154" s="161"/>
      <c r="CF154" s="162"/>
      <c r="CG154" s="105">
        <f t="shared" si="1543"/>
        <v>0.35</v>
      </c>
      <c r="CH154" s="106">
        <f t="shared" si="1544"/>
        <v>0.35</v>
      </c>
      <c r="CI154" s="107">
        <f t="shared" si="1545"/>
        <v>0</v>
      </c>
      <c r="CJ154" s="108">
        <f t="shared" si="1546"/>
        <v>0</v>
      </c>
      <c r="CK154" s="105">
        <f t="shared" si="1547"/>
        <v>0</v>
      </c>
      <c r="CL154" s="106">
        <f t="shared" si="1548"/>
        <v>0</v>
      </c>
      <c r="CM154" s="107">
        <f t="shared" si="1549"/>
        <v>0</v>
      </c>
      <c r="CN154" s="108">
        <f t="shared" si="1550"/>
        <v>0</v>
      </c>
      <c r="CO154" s="164">
        <f>SUM(CP154,CR154)</f>
        <v>0.8</v>
      </c>
      <c r="CP154" s="147">
        <v>0.8</v>
      </c>
      <c r="CQ154" s="161"/>
      <c r="CR154" s="162"/>
      <c r="CS154" s="164">
        <f>SUM(CT154,CV154)</f>
        <v>0</v>
      </c>
      <c r="CT154" s="147"/>
      <c r="CU154" s="161"/>
      <c r="CV154" s="162"/>
      <c r="CW154" s="105">
        <f t="shared" si="1551"/>
        <v>1.1499999999999999</v>
      </c>
      <c r="CX154" s="106">
        <f t="shared" si="1552"/>
        <v>1.1499999999999999</v>
      </c>
      <c r="CY154" s="107">
        <f t="shared" si="1553"/>
        <v>0</v>
      </c>
      <c r="CZ154" s="108">
        <f t="shared" si="1554"/>
        <v>0</v>
      </c>
      <c r="DA154" s="105">
        <f t="shared" si="1555"/>
        <v>0</v>
      </c>
      <c r="DB154" s="106">
        <f t="shared" si="1556"/>
        <v>0</v>
      </c>
      <c r="DC154" s="107">
        <f t="shared" si="1557"/>
        <v>0</v>
      </c>
      <c r="DD154" s="108">
        <f t="shared" si="1558"/>
        <v>0</v>
      </c>
      <c r="DE154" s="164">
        <f>SUM(DF154,DH154)</f>
        <v>0</v>
      </c>
      <c r="DF154" s="147"/>
      <c r="DG154" s="161"/>
      <c r="DH154" s="162"/>
      <c r="DI154" s="164">
        <f>SUM(DJ154,DL154)</f>
        <v>0</v>
      </c>
      <c r="DJ154" s="147"/>
      <c r="DK154" s="161"/>
      <c r="DL154" s="162"/>
      <c r="DM154" s="105">
        <f t="shared" si="1559"/>
        <v>1.1499999999999999</v>
      </c>
      <c r="DN154" s="106">
        <f t="shared" si="1560"/>
        <v>1.1499999999999999</v>
      </c>
      <c r="DO154" s="107">
        <f t="shared" si="1561"/>
        <v>0</v>
      </c>
      <c r="DP154" s="108">
        <f t="shared" si="1562"/>
        <v>0</v>
      </c>
      <c r="DQ154" s="105">
        <f t="shared" si="1563"/>
        <v>0</v>
      </c>
      <c r="DR154" s="106">
        <f t="shared" si="1564"/>
        <v>0</v>
      </c>
      <c r="DS154" s="107">
        <f t="shared" si="1565"/>
        <v>0</v>
      </c>
      <c r="DT154" s="108">
        <f t="shared" si="1566"/>
        <v>0</v>
      </c>
      <c r="DU154" s="164">
        <f>SUM(DV154,DX154)</f>
        <v>0.2</v>
      </c>
      <c r="DV154" s="147">
        <v>0.2</v>
      </c>
      <c r="DW154" s="161"/>
      <c r="DX154" s="162"/>
      <c r="DY154" s="164">
        <f>SUM(DZ154,EB154)</f>
        <v>0</v>
      </c>
      <c r="DZ154" s="147"/>
      <c r="EA154" s="161"/>
      <c r="EB154" s="162"/>
      <c r="EC154" s="105">
        <f t="shared" si="1567"/>
        <v>1.3499999999999999</v>
      </c>
      <c r="ED154" s="106">
        <f t="shared" si="1568"/>
        <v>1.3499999999999999</v>
      </c>
      <c r="EE154" s="107">
        <f t="shared" si="1569"/>
        <v>0</v>
      </c>
      <c r="EF154" s="108">
        <f t="shared" si="1570"/>
        <v>0</v>
      </c>
      <c r="EG154" s="105">
        <f t="shared" si="1571"/>
        <v>0</v>
      </c>
      <c r="EH154" s="106">
        <f t="shared" si="1572"/>
        <v>0</v>
      </c>
      <c r="EI154" s="107">
        <f t="shared" si="1573"/>
        <v>0</v>
      </c>
      <c r="EJ154" s="108">
        <f t="shared" si="1574"/>
        <v>0</v>
      </c>
      <c r="EK154" s="163">
        <f t="shared" si="1402"/>
        <v>0.89200000000000002</v>
      </c>
      <c r="EL154" s="154">
        <f t="shared" si="1403"/>
        <v>-0.10799999999999987</v>
      </c>
      <c r="EM154" s="105">
        <f>SUM(EN154,EP154)</f>
        <v>1.242</v>
      </c>
      <c r="EN154" s="106">
        <f>ER154+1.2</f>
        <v>1.242</v>
      </c>
      <c r="EO154" s="107"/>
      <c r="EP154" s="108"/>
      <c r="EQ154" s="105">
        <f>SUM(ER154,ET154)</f>
        <v>4.2000000000000003E-2</v>
      </c>
      <c r="ER154" s="106">
        <v>4.2000000000000003E-2</v>
      </c>
      <c r="ES154" s="107"/>
      <c r="ET154" s="108"/>
    </row>
    <row r="155" spans="1:150" s="4" customFormat="1" ht="21.65" customHeight="1" x14ac:dyDescent="0.3">
      <c r="A155" s="58" t="s">
        <v>7</v>
      </c>
      <c r="B155" s="55" t="s">
        <v>49</v>
      </c>
      <c r="C155" s="48" t="s">
        <v>209</v>
      </c>
      <c r="D155" s="139" t="s">
        <v>37</v>
      </c>
      <c r="E155" s="105"/>
      <c r="F155" s="106"/>
      <c r="G155" s="107"/>
      <c r="H155" s="108"/>
      <c r="I155" s="105"/>
      <c r="J155" s="106"/>
      <c r="K155" s="107"/>
      <c r="L155" s="108"/>
      <c r="M155" s="105"/>
      <c r="N155" s="106"/>
      <c r="O155" s="107"/>
      <c r="P155" s="108"/>
      <c r="Q155" s="105"/>
      <c r="R155" s="106"/>
      <c r="S155" s="107"/>
      <c r="T155" s="108"/>
      <c r="U155" s="105"/>
      <c r="V155" s="106"/>
      <c r="W155" s="107"/>
      <c r="X155" s="108"/>
      <c r="Y155" s="105"/>
      <c r="Z155" s="106"/>
      <c r="AA155" s="107"/>
      <c r="AB155" s="108"/>
      <c r="AC155" s="105"/>
      <c r="AD155" s="106"/>
      <c r="AE155" s="107"/>
      <c r="AF155" s="108"/>
      <c r="AG155" s="105"/>
      <c r="AH155" s="106"/>
      <c r="AI155" s="107"/>
      <c r="AJ155" s="108"/>
      <c r="AK155" s="105"/>
      <c r="AL155" s="106"/>
      <c r="AM155" s="107"/>
      <c r="AN155" s="108"/>
      <c r="AO155" s="105"/>
      <c r="AP155" s="106"/>
      <c r="AQ155" s="107"/>
      <c r="AR155" s="108"/>
      <c r="AS155" s="105"/>
      <c r="AT155" s="106"/>
      <c r="AU155" s="107"/>
      <c r="AV155" s="108"/>
      <c r="AW155" s="105"/>
      <c r="AX155" s="106"/>
      <c r="AY155" s="107"/>
      <c r="AZ155" s="108"/>
      <c r="BA155" s="105"/>
      <c r="BB155" s="106"/>
      <c r="BC155" s="107"/>
      <c r="BD155" s="108"/>
      <c r="BE155" s="105"/>
      <c r="BF155" s="106"/>
      <c r="BG155" s="107"/>
      <c r="BH155" s="108"/>
      <c r="BI155" s="105"/>
      <c r="BJ155" s="106"/>
      <c r="BK155" s="107"/>
      <c r="BL155" s="108"/>
      <c r="BM155" s="105"/>
      <c r="BN155" s="106"/>
      <c r="BO155" s="107"/>
      <c r="BP155" s="108"/>
      <c r="BQ155" s="105"/>
      <c r="BR155" s="106"/>
      <c r="BS155" s="107"/>
      <c r="BT155" s="108"/>
      <c r="BU155" s="105"/>
      <c r="BV155" s="106"/>
      <c r="BW155" s="107"/>
      <c r="BX155" s="108"/>
      <c r="BY155" s="164">
        <f>SUM(BZ155,CB155)</f>
        <v>4.8600000000000003</v>
      </c>
      <c r="BZ155" s="147"/>
      <c r="CA155" s="161"/>
      <c r="CB155" s="162">
        <v>4.8600000000000003</v>
      </c>
      <c r="CC155" s="164">
        <f>SUM(CD155,CF155)</f>
        <v>4.8600000000000003</v>
      </c>
      <c r="CD155" s="147"/>
      <c r="CE155" s="161"/>
      <c r="CF155" s="162">
        <v>4.8600000000000003</v>
      </c>
      <c r="CG155" s="105">
        <f t="shared" ref="CG155" si="1584">SUM(CH155,CJ155)</f>
        <v>4.8600000000000003</v>
      </c>
      <c r="CH155" s="106">
        <f t="shared" ref="CH155" si="1585">BR155+BZ155</f>
        <v>0</v>
      </c>
      <c r="CI155" s="107">
        <f t="shared" ref="CI155" si="1586">BS155+CA155</f>
        <v>0</v>
      </c>
      <c r="CJ155" s="108">
        <f t="shared" ref="CJ155" si="1587">BT155+CB155</f>
        <v>4.8600000000000003</v>
      </c>
      <c r="CK155" s="105">
        <f t="shared" ref="CK155" si="1588">SUM(CL155,CN155)</f>
        <v>4.8600000000000003</v>
      </c>
      <c r="CL155" s="106">
        <f t="shared" ref="CL155" si="1589">BV155+CD155</f>
        <v>0</v>
      </c>
      <c r="CM155" s="107">
        <f t="shared" ref="CM155" si="1590">BW155+CE155</f>
        <v>0</v>
      </c>
      <c r="CN155" s="108">
        <f t="shared" ref="CN155" si="1591">BX155+CF155</f>
        <v>4.8600000000000003</v>
      </c>
      <c r="CO155" s="164">
        <f>SUM(CP155,CR155)</f>
        <v>0</v>
      </c>
      <c r="CP155" s="147"/>
      <c r="CQ155" s="161"/>
      <c r="CR155" s="162"/>
      <c r="CS155" s="164">
        <f>SUM(CT155,CV155)</f>
        <v>0</v>
      </c>
      <c r="CT155" s="147"/>
      <c r="CU155" s="161"/>
      <c r="CV155" s="162"/>
      <c r="CW155" s="105">
        <f t="shared" si="1551"/>
        <v>4.8600000000000003</v>
      </c>
      <c r="CX155" s="106">
        <f t="shared" si="1552"/>
        <v>0</v>
      </c>
      <c r="CY155" s="107">
        <f t="shared" si="1553"/>
        <v>0</v>
      </c>
      <c r="CZ155" s="108">
        <f t="shared" si="1554"/>
        <v>4.8600000000000003</v>
      </c>
      <c r="DA155" s="105">
        <f t="shared" si="1555"/>
        <v>4.8600000000000003</v>
      </c>
      <c r="DB155" s="106">
        <f t="shared" si="1556"/>
        <v>0</v>
      </c>
      <c r="DC155" s="107">
        <f t="shared" si="1557"/>
        <v>0</v>
      </c>
      <c r="DD155" s="108">
        <f t="shared" si="1558"/>
        <v>4.8600000000000003</v>
      </c>
      <c r="DE155" s="164">
        <f>SUM(DF155,DH155)</f>
        <v>0</v>
      </c>
      <c r="DF155" s="147"/>
      <c r="DG155" s="161"/>
      <c r="DH155" s="162"/>
      <c r="DI155" s="164">
        <f>SUM(DJ155,DL155)</f>
        <v>0</v>
      </c>
      <c r="DJ155" s="147"/>
      <c r="DK155" s="161"/>
      <c r="DL155" s="162"/>
      <c r="DM155" s="105">
        <f t="shared" si="1559"/>
        <v>4.8600000000000003</v>
      </c>
      <c r="DN155" s="106">
        <f t="shared" si="1560"/>
        <v>0</v>
      </c>
      <c r="DO155" s="107">
        <f t="shared" si="1561"/>
        <v>0</v>
      </c>
      <c r="DP155" s="108">
        <f t="shared" si="1562"/>
        <v>4.8600000000000003</v>
      </c>
      <c r="DQ155" s="105">
        <f t="shared" si="1563"/>
        <v>4.8600000000000003</v>
      </c>
      <c r="DR155" s="106">
        <f t="shared" si="1564"/>
        <v>0</v>
      </c>
      <c r="DS155" s="107">
        <f t="shared" si="1565"/>
        <v>0</v>
      </c>
      <c r="DT155" s="108">
        <f t="shared" si="1566"/>
        <v>4.8600000000000003</v>
      </c>
      <c r="DU155" s="164">
        <f>SUM(DV155,DX155)</f>
        <v>0</v>
      </c>
      <c r="DV155" s="147"/>
      <c r="DW155" s="161"/>
      <c r="DX155" s="162"/>
      <c r="DY155" s="164">
        <f>SUM(DZ155,EB155)</f>
        <v>0</v>
      </c>
      <c r="DZ155" s="147"/>
      <c r="EA155" s="161"/>
      <c r="EB155" s="162"/>
      <c r="EC155" s="105">
        <f t="shared" si="1567"/>
        <v>4.8600000000000003</v>
      </c>
      <c r="ED155" s="106">
        <f t="shared" si="1568"/>
        <v>0</v>
      </c>
      <c r="EE155" s="107">
        <f t="shared" si="1569"/>
        <v>0</v>
      </c>
      <c r="EF155" s="108">
        <f t="shared" si="1570"/>
        <v>4.8600000000000003</v>
      </c>
      <c r="EG155" s="105">
        <f t="shared" si="1571"/>
        <v>4.8600000000000003</v>
      </c>
      <c r="EH155" s="106">
        <f t="shared" si="1572"/>
        <v>0</v>
      </c>
      <c r="EI155" s="107">
        <f t="shared" si="1573"/>
        <v>0</v>
      </c>
      <c r="EJ155" s="108">
        <f t="shared" si="1574"/>
        <v>4.8600000000000003</v>
      </c>
      <c r="EK155" s="153">
        <f t="shared" si="1402"/>
        <v>0</v>
      </c>
      <c r="EL155" s="154">
        <f t="shared" si="1403"/>
        <v>-4.8600000000000003</v>
      </c>
      <c r="EM155" s="105"/>
      <c r="EN155" s="106"/>
      <c r="EO155" s="107"/>
      <c r="EP155" s="108"/>
      <c r="EQ155" s="105"/>
      <c r="ER155" s="106"/>
      <c r="ES155" s="107"/>
      <c r="ET155" s="108"/>
    </row>
    <row r="156" spans="1:150" ht="24" customHeight="1" x14ac:dyDescent="0.3">
      <c r="A156" s="46"/>
      <c r="B156" s="33" t="s">
        <v>18</v>
      </c>
      <c r="C156" s="47" t="s">
        <v>111</v>
      </c>
      <c r="D156" s="94"/>
      <c r="E156" s="148">
        <f>SUM(F156,H156)</f>
        <v>826.33100000000002</v>
      </c>
      <c r="F156" s="149">
        <f>SUM(F158:F161)</f>
        <v>823.33</v>
      </c>
      <c r="G156" s="150">
        <f>SUM(G158:G161)</f>
        <v>648.43499999999995</v>
      </c>
      <c r="H156" s="151">
        <f>SUM(H158:H161)</f>
        <v>3.0009999999999999</v>
      </c>
      <c r="I156" s="148">
        <f>SUM(J156,L156)</f>
        <v>15.481</v>
      </c>
      <c r="J156" s="149">
        <f>SUM(J158:J161)</f>
        <v>12.48</v>
      </c>
      <c r="K156" s="150">
        <f>SUM(K158:K159)</f>
        <v>0</v>
      </c>
      <c r="L156" s="151">
        <f>SUM(L158:L161)</f>
        <v>3.0009999999999999</v>
      </c>
      <c r="M156" s="148">
        <f>SUM(N156,P156)</f>
        <v>0</v>
      </c>
      <c r="N156" s="149">
        <f>SUM(N158:N161)</f>
        <v>0</v>
      </c>
      <c r="O156" s="150">
        <f>SUM(O158:O161)</f>
        <v>0</v>
      </c>
      <c r="P156" s="151">
        <f>SUM(P158:P161)</f>
        <v>0</v>
      </c>
      <c r="Q156" s="148">
        <f>SUM(R156,T156)</f>
        <v>0</v>
      </c>
      <c r="R156" s="149">
        <f>SUM(R158:R161)</f>
        <v>0</v>
      </c>
      <c r="S156" s="150">
        <f>SUM(S158:S159)</f>
        <v>0</v>
      </c>
      <c r="T156" s="151">
        <f>SUM(T158:T161)</f>
        <v>0</v>
      </c>
      <c r="U156" s="148">
        <f>SUM(V156,X156)</f>
        <v>826.33100000000002</v>
      </c>
      <c r="V156" s="149">
        <f>SUM(V158:V161)</f>
        <v>823.33</v>
      </c>
      <c r="W156" s="150">
        <f>SUM(W158:W161)</f>
        <v>648.43499999999995</v>
      </c>
      <c r="X156" s="151">
        <f>SUM(X158:X161)</f>
        <v>3.0009999999999999</v>
      </c>
      <c r="Y156" s="148">
        <f>SUM(Z156,AB156)</f>
        <v>15.481</v>
      </c>
      <c r="Z156" s="149">
        <f>SUM(Z158:Z161)</f>
        <v>12.48</v>
      </c>
      <c r="AA156" s="150">
        <f>SUM(AA158:AA159)</f>
        <v>0</v>
      </c>
      <c r="AB156" s="151">
        <f>SUM(AB158:AB161)</f>
        <v>3.0009999999999999</v>
      </c>
      <c r="AC156" s="148">
        <f>SUM(AD156,AF156)</f>
        <v>20.273</v>
      </c>
      <c r="AD156" s="149">
        <f>SUM(AD158:AD161)</f>
        <v>20.273</v>
      </c>
      <c r="AE156" s="150">
        <f>SUM(AE158:AE161)</f>
        <v>0</v>
      </c>
      <c r="AF156" s="151">
        <f>SUM(AF158:AF161)</f>
        <v>0</v>
      </c>
      <c r="AG156" s="148">
        <f>SUM(AH156,AJ156)</f>
        <v>0</v>
      </c>
      <c r="AH156" s="149">
        <f>SUM(AH158:AH161)</f>
        <v>0</v>
      </c>
      <c r="AI156" s="150">
        <f>SUM(AI158:AI159)</f>
        <v>0</v>
      </c>
      <c r="AJ156" s="151">
        <f>SUM(AJ158:AJ161)</f>
        <v>0</v>
      </c>
      <c r="AK156" s="148">
        <f>SUM(AL156,AN156)</f>
        <v>846.60399999999993</v>
      </c>
      <c r="AL156" s="149">
        <f>SUM(AL158:AL161)</f>
        <v>843.60299999999995</v>
      </c>
      <c r="AM156" s="150">
        <f>SUM(AM158:AM161)</f>
        <v>648.43499999999995</v>
      </c>
      <c r="AN156" s="151">
        <f>SUM(AN158:AN161)</f>
        <v>3.0009999999999999</v>
      </c>
      <c r="AO156" s="148">
        <f>SUM(AP156,AR156)</f>
        <v>15.481</v>
      </c>
      <c r="AP156" s="149">
        <f>SUM(AP158:AP161)</f>
        <v>12.48</v>
      </c>
      <c r="AQ156" s="150">
        <f>SUM(AQ158:AQ159)</f>
        <v>0</v>
      </c>
      <c r="AR156" s="151">
        <f>SUM(AR158:AR161)</f>
        <v>3.0009999999999999</v>
      </c>
      <c r="AS156" s="148">
        <f>SUM(AT156,AV156)</f>
        <v>0</v>
      </c>
      <c r="AT156" s="149">
        <f>SUM(AT158:AT161)</f>
        <v>0</v>
      </c>
      <c r="AU156" s="150">
        <f>SUM(AU158:AU161)</f>
        <v>0</v>
      </c>
      <c r="AV156" s="151">
        <f>SUM(AV158:AV161)</f>
        <v>0</v>
      </c>
      <c r="AW156" s="148">
        <f>SUM(AX156,AZ156)</f>
        <v>0</v>
      </c>
      <c r="AX156" s="149">
        <f>SUM(AX158:AX161)</f>
        <v>0</v>
      </c>
      <c r="AY156" s="150">
        <f>SUM(AY158:AY159)</f>
        <v>0</v>
      </c>
      <c r="AZ156" s="151">
        <f>SUM(AZ158:AZ161)</f>
        <v>0</v>
      </c>
      <c r="BA156" s="148">
        <f>SUM(BB156,BD156)</f>
        <v>846.60399999999993</v>
      </c>
      <c r="BB156" s="149">
        <f>SUM(BB158:BB161)</f>
        <v>843.60299999999995</v>
      </c>
      <c r="BC156" s="150">
        <f>SUM(BC158:BC161)</f>
        <v>648.43499999999995</v>
      </c>
      <c r="BD156" s="151">
        <f>SUM(BD158:BD161)</f>
        <v>3.0009999999999999</v>
      </c>
      <c r="BE156" s="148">
        <f>SUM(BF156,BH156)</f>
        <v>15.481</v>
      </c>
      <c r="BF156" s="149">
        <f>SUM(BF158:BF161)</f>
        <v>12.48</v>
      </c>
      <c r="BG156" s="150">
        <f>SUM(BG158:BG159)</f>
        <v>0</v>
      </c>
      <c r="BH156" s="151">
        <f>SUM(BH158:BH161)</f>
        <v>3.0009999999999999</v>
      </c>
      <c r="BI156" s="148">
        <f>SUM(BJ156,BL156)</f>
        <v>-20.444000000000003</v>
      </c>
      <c r="BJ156" s="149">
        <f>SUM(BJ158:BJ161)</f>
        <v>-29.914000000000001</v>
      </c>
      <c r="BK156" s="150">
        <f>SUM(BK158:BK161)</f>
        <v>-15.43</v>
      </c>
      <c r="BL156" s="151">
        <f>SUM(BL158:BL161)</f>
        <v>9.4700000000000006</v>
      </c>
      <c r="BM156" s="148">
        <f>SUM(BN156,BP156)</f>
        <v>0</v>
      </c>
      <c r="BN156" s="149">
        <f>SUM(BN158:BN161)</f>
        <v>0</v>
      </c>
      <c r="BO156" s="150">
        <f>SUM(BO158:BO159)</f>
        <v>0</v>
      </c>
      <c r="BP156" s="151">
        <f>SUM(BP158:BP161)</f>
        <v>0</v>
      </c>
      <c r="BQ156" s="148">
        <f>SUM(BR156,BT156)</f>
        <v>826.16000000000008</v>
      </c>
      <c r="BR156" s="149">
        <f>SUM(BR158:BR161)</f>
        <v>813.68900000000008</v>
      </c>
      <c r="BS156" s="150">
        <f>SUM(BS158:BS161)</f>
        <v>633.005</v>
      </c>
      <c r="BT156" s="151">
        <f>SUM(BT158:BT161)</f>
        <v>12.471</v>
      </c>
      <c r="BU156" s="148">
        <f>SUM(BV156,BX156)</f>
        <v>15.481</v>
      </c>
      <c r="BV156" s="149">
        <f>SUM(BV158:BV161)</f>
        <v>12.48</v>
      </c>
      <c r="BW156" s="150">
        <f>SUM(BW158:BW159)</f>
        <v>0</v>
      </c>
      <c r="BX156" s="151">
        <f>SUM(BX158:BX161)</f>
        <v>3.0009999999999999</v>
      </c>
      <c r="BY156" s="175">
        <f>SUM(BZ156,CB156)</f>
        <v>0</v>
      </c>
      <c r="BZ156" s="176">
        <f>SUM(BZ158:BZ161)</f>
        <v>0</v>
      </c>
      <c r="CA156" s="177">
        <f>SUM(CA158:CA161)</f>
        <v>-0.53</v>
      </c>
      <c r="CB156" s="178">
        <f>SUM(CB158:CB161)</f>
        <v>0</v>
      </c>
      <c r="CC156" s="175">
        <f>SUM(CD156,CF156)</f>
        <v>0</v>
      </c>
      <c r="CD156" s="176">
        <f>SUM(CD158:CD161)</f>
        <v>0</v>
      </c>
      <c r="CE156" s="177">
        <f>SUM(CE158:CE159)</f>
        <v>0</v>
      </c>
      <c r="CF156" s="178">
        <f>SUM(CF158:CF161)</f>
        <v>0</v>
      </c>
      <c r="CG156" s="148">
        <f>SUM(CH156,CJ156)</f>
        <v>826.16000000000008</v>
      </c>
      <c r="CH156" s="149">
        <f>SUM(CH158:CH161)</f>
        <v>813.68900000000008</v>
      </c>
      <c r="CI156" s="150">
        <f>SUM(CI158:CI161)</f>
        <v>632.47500000000002</v>
      </c>
      <c r="CJ156" s="151">
        <f>SUM(CJ158:CJ161)</f>
        <v>12.471</v>
      </c>
      <c r="CK156" s="148">
        <f>SUM(CL156,CN156)</f>
        <v>15.481</v>
      </c>
      <c r="CL156" s="149">
        <f>SUM(CL158:CL161)</f>
        <v>12.48</v>
      </c>
      <c r="CM156" s="150">
        <f>SUM(CM158:CM159)</f>
        <v>0</v>
      </c>
      <c r="CN156" s="151">
        <f>SUM(CN158:CN161)</f>
        <v>3.0009999999999999</v>
      </c>
      <c r="CO156" s="175">
        <f>SUM(CP156,CR156)</f>
        <v>0</v>
      </c>
      <c r="CP156" s="176">
        <f>SUM(CP158:CP161)</f>
        <v>0</v>
      </c>
      <c r="CQ156" s="177">
        <f>SUM(CQ158:CQ161)</f>
        <v>0</v>
      </c>
      <c r="CR156" s="178">
        <f>SUM(CR158:CR161)</f>
        <v>0</v>
      </c>
      <c r="CS156" s="175">
        <f>SUM(CT156,CV156)</f>
        <v>0</v>
      </c>
      <c r="CT156" s="176">
        <f>SUM(CT158:CT161)</f>
        <v>0</v>
      </c>
      <c r="CU156" s="177">
        <f>SUM(CU158:CU159)</f>
        <v>0</v>
      </c>
      <c r="CV156" s="178">
        <f>SUM(CV158:CV161)</f>
        <v>0</v>
      </c>
      <c r="CW156" s="148">
        <f>SUM(CX156,CZ156)</f>
        <v>826.16000000000008</v>
      </c>
      <c r="CX156" s="149">
        <f>SUM(CX158:CX161)</f>
        <v>813.68900000000008</v>
      </c>
      <c r="CY156" s="150">
        <f>SUM(CY158:CY161)</f>
        <v>632.47500000000002</v>
      </c>
      <c r="CZ156" s="151">
        <f>SUM(CZ158:CZ161)</f>
        <v>12.471</v>
      </c>
      <c r="DA156" s="148">
        <f>SUM(DB156,DD156)</f>
        <v>15.481</v>
      </c>
      <c r="DB156" s="149">
        <f>SUM(DB158:DB161)</f>
        <v>12.48</v>
      </c>
      <c r="DC156" s="150">
        <f>SUM(DC158:DC159)</f>
        <v>0</v>
      </c>
      <c r="DD156" s="151">
        <f>SUM(DD158:DD161)</f>
        <v>3.0009999999999999</v>
      </c>
      <c r="DE156" s="175">
        <f>SUM(DF156,DH156)</f>
        <v>0.19500000000000001</v>
      </c>
      <c r="DF156" s="176">
        <f>SUM(DF158:DF161)</f>
        <v>0.19500000000000001</v>
      </c>
      <c r="DG156" s="177">
        <f>SUM(DG158:DG161)</f>
        <v>0</v>
      </c>
      <c r="DH156" s="178">
        <f>SUM(DH158:DH161)</f>
        <v>0</v>
      </c>
      <c r="DI156" s="175">
        <f>SUM(DJ156,DL156)</f>
        <v>0</v>
      </c>
      <c r="DJ156" s="176">
        <f>SUM(DJ158:DJ161)</f>
        <v>0</v>
      </c>
      <c r="DK156" s="177">
        <f>SUM(DK158:DK159)</f>
        <v>0</v>
      </c>
      <c r="DL156" s="178">
        <f>SUM(DL158:DL161)</f>
        <v>0</v>
      </c>
      <c r="DM156" s="148">
        <f>SUM(DN156,DP156)</f>
        <v>826.35500000000002</v>
      </c>
      <c r="DN156" s="149">
        <f>SUM(DN158:DN161)</f>
        <v>813.88400000000001</v>
      </c>
      <c r="DO156" s="150">
        <f>SUM(DO158:DO161)</f>
        <v>632.47500000000002</v>
      </c>
      <c r="DP156" s="151">
        <f>SUM(DP158:DP161)</f>
        <v>12.471</v>
      </c>
      <c r="DQ156" s="148">
        <f>SUM(DR156,DT156)</f>
        <v>15.481</v>
      </c>
      <c r="DR156" s="149">
        <f>SUM(DR158:DR161)</f>
        <v>12.48</v>
      </c>
      <c r="DS156" s="150">
        <f>SUM(DS158:DS159)</f>
        <v>0</v>
      </c>
      <c r="DT156" s="151">
        <f>SUM(DT158:DT161)</f>
        <v>3.0009999999999999</v>
      </c>
      <c r="DU156" s="175">
        <f>SUM(DV156,DX156)</f>
        <v>3</v>
      </c>
      <c r="DV156" s="176">
        <f>SUM(DV158:DV161)</f>
        <v>-21.25</v>
      </c>
      <c r="DW156" s="177">
        <f>SUM(DW158:DW161)</f>
        <v>-25</v>
      </c>
      <c r="DX156" s="178">
        <f>SUM(DX158:DX161)</f>
        <v>24.25</v>
      </c>
      <c r="DY156" s="175">
        <f>SUM(DZ156,EB156)</f>
        <v>0</v>
      </c>
      <c r="DZ156" s="176">
        <f>SUM(DZ158:DZ161)</f>
        <v>0</v>
      </c>
      <c r="EA156" s="177">
        <f>SUM(EA158:EA159)</f>
        <v>0</v>
      </c>
      <c r="EB156" s="178">
        <f>SUM(EB158:EB161)</f>
        <v>0</v>
      </c>
      <c r="EC156" s="148">
        <f>SUM(ED156,EF156)</f>
        <v>829.35500000000002</v>
      </c>
      <c r="ED156" s="149">
        <f>SUM(ED158:ED161)</f>
        <v>792.63400000000001</v>
      </c>
      <c r="EE156" s="150">
        <f>SUM(EE158:EE161)</f>
        <v>607.47500000000002</v>
      </c>
      <c r="EF156" s="151">
        <f>SUM(EF158:EF161)</f>
        <v>36.721000000000004</v>
      </c>
      <c r="EG156" s="148">
        <f>SUM(EH156,EJ156)</f>
        <v>15.481</v>
      </c>
      <c r="EH156" s="149">
        <f>SUM(EH158:EH161)</f>
        <v>12.48</v>
      </c>
      <c r="EI156" s="150">
        <f>SUM(EI158:EI159)</f>
        <v>0</v>
      </c>
      <c r="EJ156" s="151">
        <f>SUM(EJ158:EJ161)</f>
        <v>3.0009999999999999</v>
      </c>
      <c r="EK156" s="155">
        <f t="shared" si="1402"/>
        <v>33.628000000000043</v>
      </c>
      <c r="EL156" s="155">
        <f t="shared" si="1403"/>
        <v>30.604000000000042</v>
      </c>
      <c r="EM156" s="148">
        <f>SUM(EN156,EP156)</f>
        <v>859.95900000000006</v>
      </c>
      <c r="EN156" s="149">
        <f>SUM(EN158:EN161)</f>
        <v>855.95900000000006</v>
      </c>
      <c r="EO156" s="150">
        <f>SUM(EO158:EO161)</f>
        <v>680.8599999999999</v>
      </c>
      <c r="EP156" s="151">
        <f>SUM(EP158:EP161)</f>
        <v>4</v>
      </c>
      <c r="EQ156" s="148">
        <f>SUM(ER156,ET156)</f>
        <v>2.7589999999999999</v>
      </c>
      <c r="ER156" s="149">
        <f>SUM(ER158:ER161)</f>
        <v>2.7589999999999999</v>
      </c>
      <c r="ES156" s="150">
        <f>SUM(ES158:ES159)</f>
        <v>0</v>
      </c>
      <c r="ET156" s="151">
        <f>SUM(ET158:ET161)</f>
        <v>0</v>
      </c>
    </row>
    <row r="157" spans="1:150" ht="17.399999999999999" customHeight="1" x14ac:dyDescent="0.3">
      <c r="A157" s="50"/>
      <c r="B157" s="6" t="s">
        <v>2</v>
      </c>
      <c r="C157" s="51"/>
      <c r="D157" s="94"/>
      <c r="E157" s="105"/>
      <c r="F157" s="106"/>
      <c r="G157" s="107"/>
      <c r="H157" s="108"/>
      <c r="I157" s="105"/>
      <c r="J157" s="106"/>
      <c r="K157" s="107"/>
      <c r="L157" s="108"/>
      <c r="M157" s="105"/>
      <c r="N157" s="106"/>
      <c r="O157" s="107"/>
      <c r="P157" s="108"/>
      <c r="Q157" s="105"/>
      <c r="R157" s="106"/>
      <c r="S157" s="107"/>
      <c r="T157" s="108"/>
      <c r="U157" s="105"/>
      <c r="V157" s="106"/>
      <c r="W157" s="107"/>
      <c r="X157" s="108"/>
      <c r="Y157" s="105"/>
      <c r="Z157" s="106"/>
      <c r="AA157" s="107"/>
      <c r="AB157" s="108"/>
      <c r="AC157" s="105"/>
      <c r="AD157" s="106"/>
      <c r="AE157" s="107"/>
      <c r="AF157" s="108"/>
      <c r="AG157" s="105"/>
      <c r="AH157" s="106"/>
      <c r="AI157" s="107"/>
      <c r="AJ157" s="108"/>
      <c r="AK157" s="105"/>
      <c r="AL157" s="106"/>
      <c r="AM157" s="107"/>
      <c r="AN157" s="108"/>
      <c r="AO157" s="105"/>
      <c r="AP157" s="106"/>
      <c r="AQ157" s="107"/>
      <c r="AR157" s="108"/>
      <c r="AS157" s="105"/>
      <c r="AT157" s="106"/>
      <c r="AU157" s="107"/>
      <c r="AV157" s="108"/>
      <c r="AW157" s="105"/>
      <c r="AX157" s="106"/>
      <c r="AY157" s="107"/>
      <c r="AZ157" s="108"/>
      <c r="BA157" s="105"/>
      <c r="BB157" s="106"/>
      <c r="BC157" s="107"/>
      <c r="BD157" s="108"/>
      <c r="BE157" s="105"/>
      <c r="BF157" s="106"/>
      <c r="BG157" s="107"/>
      <c r="BH157" s="108"/>
      <c r="BI157" s="105"/>
      <c r="BJ157" s="106"/>
      <c r="BK157" s="107"/>
      <c r="BL157" s="108"/>
      <c r="BM157" s="105"/>
      <c r="BN157" s="106"/>
      <c r="BO157" s="107"/>
      <c r="BP157" s="108"/>
      <c r="BQ157" s="105"/>
      <c r="BR157" s="106"/>
      <c r="BS157" s="107"/>
      <c r="BT157" s="108"/>
      <c r="BU157" s="105"/>
      <c r="BV157" s="106"/>
      <c r="BW157" s="107"/>
      <c r="BX157" s="108"/>
      <c r="BY157" s="164"/>
      <c r="BZ157" s="147"/>
      <c r="CA157" s="161"/>
      <c r="CB157" s="162"/>
      <c r="CC157" s="164"/>
      <c r="CD157" s="147"/>
      <c r="CE157" s="161"/>
      <c r="CF157" s="162"/>
      <c r="CG157" s="105"/>
      <c r="CH157" s="106"/>
      <c r="CI157" s="107"/>
      <c r="CJ157" s="108"/>
      <c r="CK157" s="105"/>
      <c r="CL157" s="106"/>
      <c r="CM157" s="107"/>
      <c r="CN157" s="108"/>
      <c r="CO157" s="164"/>
      <c r="CP157" s="147"/>
      <c r="CQ157" s="161"/>
      <c r="CR157" s="162"/>
      <c r="CS157" s="164"/>
      <c r="CT157" s="147"/>
      <c r="CU157" s="161"/>
      <c r="CV157" s="162"/>
      <c r="CW157" s="105"/>
      <c r="CX157" s="106"/>
      <c r="CY157" s="107"/>
      <c r="CZ157" s="108"/>
      <c r="DA157" s="105"/>
      <c r="DB157" s="106"/>
      <c r="DC157" s="107"/>
      <c r="DD157" s="108"/>
      <c r="DE157" s="164"/>
      <c r="DF157" s="147"/>
      <c r="DG157" s="161"/>
      <c r="DH157" s="162"/>
      <c r="DI157" s="164"/>
      <c r="DJ157" s="147"/>
      <c r="DK157" s="161"/>
      <c r="DL157" s="162"/>
      <c r="DM157" s="105"/>
      <c r="DN157" s="106"/>
      <c r="DO157" s="107"/>
      <c r="DP157" s="108"/>
      <c r="DQ157" s="105"/>
      <c r="DR157" s="106"/>
      <c r="DS157" s="107"/>
      <c r="DT157" s="108"/>
      <c r="DU157" s="164"/>
      <c r="DV157" s="147"/>
      <c r="DW157" s="161"/>
      <c r="DX157" s="162"/>
      <c r="DY157" s="164"/>
      <c r="DZ157" s="147"/>
      <c r="EA157" s="161"/>
      <c r="EB157" s="162"/>
      <c r="EC157" s="105"/>
      <c r="ED157" s="106"/>
      <c r="EE157" s="107"/>
      <c r="EF157" s="108"/>
      <c r="EG157" s="105"/>
      <c r="EH157" s="106"/>
      <c r="EI157" s="107"/>
      <c r="EJ157" s="108"/>
      <c r="EK157" s="153">
        <f t="shared" si="1402"/>
        <v>0</v>
      </c>
      <c r="EL157" s="153">
        <f t="shared" si="1403"/>
        <v>0</v>
      </c>
      <c r="EM157" s="105"/>
      <c r="EN157" s="106"/>
      <c r="EO157" s="107"/>
      <c r="EP157" s="108"/>
      <c r="EQ157" s="105"/>
      <c r="ER157" s="106"/>
      <c r="ES157" s="107"/>
      <c r="ET157" s="108"/>
    </row>
    <row r="158" spans="1:150" s="4" customFormat="1" ht="21.65" customHeight="1" x14ac:dyDescent="0.25">
      <c r="A158" s="704" t="s">
        <v>31</v>
      </c>
      <c r="B158" s="702" t="s">
        <v>44</v>
      </c>
      <c r="C158" s="48" t="s">
        <v>88</v>
      </c>
      <c r="D158" s="93" t="s">
        <v>37</v>
      </c>
      <c r="E158" s="105">
        <f>SUM(F158,H158)</f>
        <v>770.56000000000006</v>
      </c>
      <c r="F158" s="106">
        <f>J158+720.69+26.4+19.4+1.1+2.5+0.2</f>
        <v>770.56000000000006</v>
      </c>
      <c r="G158" s="107">
        <f>640.43+1.055-1.54</f>
        <v>639.94499999999994</v>
      </c>
      <c r="H158" s="108"/>
      <c r="I158" s="105">
        <f>SUM(J158,L158)</f>
        <v>0.27</v>
      </c>
      <c r="J158" s="106">
        <v>0.27</v>
      </c>
      <c r="K158" s="107"/>
      <c r="L158" s="108"/>
      <c r="M158" s="105">
        <f>SUM(N158,P158)</f>
        <v>0</v>
      </c>
      <c r="N158" s="106"/>
      <c r="O158" s="107"/>
      <c r="P158" s="108"/>
      <c r="Q158" s="105">
        <f>SUM(R158,T158)</f>
        <v>0</v>
      </c>
      <c r="R158" s="106"/>
      <c r="S158" s="107"/>
      <c r="T158" s="108"/>
      <c r="U158" s="105">
        <f t="shared" ref="U158" si="1592">SUM(V158,X158)</f>
        <v>770.56000000000006</v>
      </c>
      <c r="V158" s="106">
        <f t="shared" ref="V158" si="1593">F158+N158</f>
        <v>770.56000000000006</v>
      </c>
      <c r="W158" s="107">
        <f t="shared" ref="W158" si="1594">G158+O158</f>
        <v>639.94499999999994</v>
      </c>
      <c r="X158" s="108">
        <f t="shared" ref="X158" si="1595">H158+P158</f>
        <v>0</v>
      </c>
      <c r="Y158" s="105">
        <f t="shared" ref="Y158" si="1596">SUM(Z158,AB158)</f>
        <v>0.27</v>
      </c>
      <c r="Z158" s="106">
        <f t="shared" ref="Z158" si="1597">J158+R158</f>
        <v>0.27</v>
      </c>
      <c r="AA158" s="107">
        <f t="shared" ref="AA158" si="1598">K158+S158</f>
        <v>0</v>
      </c>
      <c r="AB158" s="108">
        <f t="shared" ref="AB158" si="1599">L158+T158</f>
        <v>0</v>
      </c>
      <c r="AC158" s="105">
        <f>SUM(AD158,AF158)</f>
        <v>0</v>
      </c>
      <c r="AD158" s="106"/>
      <c r="AE158" s="107"/>
      <c r="AF158" s="108"/>
      <c r="AG158" s="105">
        <f>SUM(AH158,AJ158)</f>
        <v>0</v>
      </c>
      <c r="AH158" s="106"/>
      <c r="AI158" s="107"/>
      <c r="AJ158" s="108"/>
      <c r="AK158" s="105">
        <f t="shared" ref="AK158:AK161" si="1600">SUM(AL158,AN158)</f>
        <v>770.56000000000006</v>
      </c>
      <c r="AL158" s="106">
        <f t="shared" ref="AL158:AL161" si="1601">V158+AD158</f>
        <v>770.56000000000006</v>
      </c>
      <c r="AM158" s="107">
        <f t="shared" ref="AM158:AM161" si="1602">W158+AE158</f>
        <v>639.94499999999994</v>
      </c>
      <c r="AN158" s="108">
        <f t="shared" ref="AN158:AN161" si="1603">X158+AF158</f>
        <v>0</v>
      </c>
      <c r="AO158" s="105">
        <f t="shared" ref="AO158:AO161" si="1604">SUM(AP158,AR158)</f>
        <v>0.27</v>
      </c>
      <c r="AP158" s="106">
        <f t="shared" ref="AP158:AP161" si="1605">Z158+AH158</f>
        <v>0.27</v>
      </c>
      <c r="AQ158" s="107">
        <f t="shared" ref="AQ158:AQ161" si="1606">AA158+AI158</f>
        <v>0</v>
      </c>
      <c r="AR158" s="108">
        <f t="shared" ref="AR158:AR161" si="1607">AB158+AJ158</f>
        <v>0</v>
      </c>
      <c r="AS158" s="105">
        <f>SUM(AT158,AV158)</f>
        <v>0</v>
      </c>
      <c r="AT158" s="106"/>
      <c r="AU158" s="107"/>
      <c r="AV158" s="108"/>
      <c r="AW158" s="105">
        <f>SUM(AX158,AZ158)</f>
        <v>0</v>
      </c>
      <c r="AX158" s="106"/>
      <c r="AY158" s="107"/>
      <c r="AZ158" s="108"/>
      <c r="BA158" s="105">
        <f t="shared" ref="BA158:BA161" si="1608">SUM(BB158,BD158)</f>
        <v>770.56000000000006</v>
      </c>
      <c r="BB158" s="106">
        <f t="shared" ref="BB158:BB161" si="1609">AL158+AT158</f>
        <v>770.56000000000006</v>
      </c>
      <c r="BC158" s="107">
        <f t="shared" ref="BC158:BC161" si="1610">AM158+AU158</f>
        <v>639.94499999999994</v>
      </c>
      <c r="BD158" s="108">
        <f t="shared" ref="BD158:BD161" si="1611">AN158+AV158</f>
        <v>0</v>
      </c>
      <c r="BE158" s="105">
        <f t="shared" ref="BE158:BE161" si="1612">SUM(BF158,BH158)</f>
        <v>0.27</v>
      </c>
      <c r="BF158" s="106">
        <f t="shared" ref="BF158:BF161" si="1613">AP158+AX158</f>
        <v>0.27</v>
      </c>
      <c r="BG158" s="107">
        <f t="shared" ref="BG158:BG161" si="1614">AQ158+AY158</f>
        <v>0</v>
      </c>
      <c r="BH158" s="108">
        <f t="shared" ref="BH158:BH161" si="1615">AR158+AZ158</f>
        <v>0</v>
      </c>
      <c r="BI158" s="105">
        <f>SUM(BJ158,BL158)</f>
        <v>-29.506</v>
      </c>
      <c r="BJ158" s="106">
        <f>-30.561+1.055</f>
        <v>-29.506</v>
      </c>
      <c r="BK158" s="107">
        <v>-15.43</v>
      </c>
      <c r="BL158" s="108"/>
      <c r="BM158" s="105">
        <f>SUM(BN158,BP158)</f>
        <v>0</v>
      </c>
      <c r="BN158" s="106"/>
      <c r="BO158" s="107"/>
      <c r="BP158" s="108"/>
      <c r="BQ158" s="105">
        <f t="shared" ref="BQ158:BQ161" si="1616">SUM(BR158,BT158)</f>
        <v>741.05400000000009</v>
      </c>
      <c r="BR158" s="106">
        <f t="shared" ref="BR158:BR161" si="1617">BB158+BJ158</f>
        <v>741.05400000000009</v>
      </c>
      <c r="BS158" s="107">
        <f t="shared" ref="BS158:BS161" si="1618">BC158+BK158</f>
        <v>624.51499999999999</v>
      </c>
      <c r="BT158" s="108">
        <f t="shared" ref="BT158:BT161" si="1619">BD158+BL158</f>
        <v>0</v>
      </c>
      <c r="BU158" s="105">
        <f t="shared" ref="BU158:BU161" si="1620">SUM(BV158,BX158)</f>
        <v>0.27</v>
      </c>
      <c r="BV158" s="106">
        <f t="shared" ref="BV158:BV161" si="1621">BF158+BN158</f>
        <v>0.27</v>
      </c>
      <c r="BW158" s="107">
        <f t="shared" ref="BW158:BW161" si="1622">BG158+BO158</f>
        <v>0</v>
      </c>
      <c r="BX158" s="108">
        <f t="shared" ref="BX158:BX161" si="1623">BH158+BP158</f>
        <v>0</v>
      </c>
      <c r="BY158" s="164">
        <f>SUM(BZ158,CB158)</f>
        <v>0</v>
      </c>
      <c r="BZ158" s="147"/>
      <c r="CA158" s="161">
        <v>-0.53</v>
      </c>
      <c r="CB158" s="162"/>
      <c r="CC158" s="164">
        <f>SUM(CD158,CF158)</f>
        <v>0</v>
      </c>
      <c r="CD158" s="147"/>
      <c r="CE158" s="161"/>
      <c r="CF158" s="162"/>
      <c r="CG158" s="105">
        <f t="shared" ref="CG158:CG161" si="1624">SUM(CH158,CJ158)</f>
        <v>741.05400000000009</v>
      </c>
      <c r="CH158" s="106">
        <f t="shared" ref="CH158:CH161" si="1625">BR158+BZ158</f>
        <v>741.05400000000009</v>
      </c>
      <c r="CI158" s="107">
        <f t="shared" ref="CI158:CI161" si="1626">BS158+CA158</f>
        <v>623.98500000000001</v>
      </c>
      <c r="CJ158" s="108">
        <f t="shared" ref="CJ158:CJ161" si="1627">BT158+CB158</f>
        <v>0</v>
      </c>
      <c r="CK158" s="105">
        <f t="shared" ref="CK158:CK161" si="1628">SUM(CL158,CN158)</f>
        <v>0.27</v>
      </c>
      <c r="CL158" s="106">
        <f t="shared" ref="CL158:CL161" si="1629">BV158+CD158</f>
        <v>0.27</v>
      </c>
      <c r="CM158" s="107">
        <f t="shared" ref="CM158:CM161" si="1630">BW158+CE158</f>
        <v>0</v>
      </c>
      <c r="CN158" s="108">
        <f t="shared" ref="CN158:CN161" si="1631">BX158+CF158</f>
        <v>0</v>
      </c>
      <c r="CO158" s="164">
        <f>SUM(CP158,CR158)</f>
        <v>0</v>
      </c>
      <c r="CP158" s="147"/>
      <c r="CQ158" s="161"/>
      <c r="CR158" s="162"/>
      <c r="CS158" s="164">
        <f>SUM(CT158,CV158)</f>
        <v>0</v>
      </c>
      <c r="CT158" s="147"/>
      <c r="CU158" s="161"/>
      <c r="CV158" s="162"/>
      <c r="CW158" s="105">
        <f t="shared" ref="CW158:CW161" si="1632">SUM(CX158,CZ158)</f>
        <v>741.05400000000009</v>
      </c>
      <c r="CX158" s="106">
        <f t="shared" ref="CX158:CX161" si="1633">CH158+CP158</f>
        <v>741.05400000000009</v>
      </c>
      <c r="CY158" s="107">
        <f t="shared" ref="CY158:CY161" si="1634">CI158+CQ158</f>
        <v>623.98500000000001</v>
      </c>
      <c r="CZ158" s="108">
        <f t="shared" ref="CZ158:CZ161" si="1635">CJ158+CR158</f>
        <v>0</v>
      </c>
      <c r="DA158" s="105">
        <f t="shared" ref="DA158:DA161" si="1636">SUM(DB158,DD158)</f>
        <v>0.27</v>
      </c>
      <c r="DB158" s="106">
        <f t="shared" ref="DB158:DB161" si="1637">CL158+CT158</f>
        <v>0.27</v>
      </c>
      <c r="DC158" s="107">
        <f t="shared" ref="DC158:DC161" si="1638">CM158+CU158</f>
        <v>0</v>
      </c>
      <c r="DD158" s="108">
        <f t="shared" ref="DD158:DD161" si="1639">CN158+CV158</f>
        <v>0</v>
      </c>
      <c r="DE158" s="164">
        <f>SUM(DF158,DH158)</f>
        <v>0.19500000000000001</v>
      </c>
      <c r="DF158" s="147">
        <v>0.19500000000000001</v>
      </c>
      <c r="DG158" s="161"/>
      <c r="DH158" s="162"/>
      <c r="DI158" s="164">
        <f>SUM(DJ158,DL158)</f>
        <v>0</v>
      </c>
      <c r="DJ158" s="147"/>
      <c r="DK158" s="161"/>
      <c r="DL158" s="162"/>
      <c r="DM158" s="105">
        <f t="shared" ref="DM158:DM161" si="1640">SUM(DN158,DP158)</f>
        <v>741.24900000000014</v>
      </c>
      <c r="DN158" s="106">
        <f t="shared" ref="DN158:DN161" si="1641">CX158+DF158</f>
        <v>741.24900000000014</v>
      </c>
      <c r="DO158" s="107">
        <f t="shared" ref="DO158:DO161" si="1642">CY158+DG158</f>
        <v>623.98500000000001</v>
      </c>
      <c r="DP158" s="108">
        <f t="shared" ref="DP158:DP161" si="1643">CZ158+DH158</f>
        <v>0</v>
      </c>
      <c r="DQ158" s="105">
        <f t="shared" ref="DQ158:DQ161" si="1644">SUM(DR158,DT158)</f>
        <v>0.27</v>
      </c>
      <c r="DR158" s="106">
        <f t="shared" ref="DR158:DR161" si="1645">DB158+DJ158</f>
        <v>0.27</v>
      </c>
      <c r="DS158" s="107">
        <f t="shared" ref="DS158:DS161" si="1646">DC158+DK158</f>
        <v>0</v>
      </c>
      <c r="DT158" s="108">
        <f t="shared" ref="DT158:DT161" si="1647">DD158+DL158</f>
        <v>0</v>
      </c>
      <c r="DU158" s="164">
        <f>SUM(DV158,DX158)</f>
        <v>0</v>
      </c>
      <c r="DV158" s="147">
        <f>-25+0.75</f>
        <v>-24.25</v>
      </c>
      <c r="DW158" s="161">
        <v>-25</v>
      </c>
      <c r="DX158" s="162">
        <v>24.25</v>
      </c>
      <c r="DY158" s="164">
        <f>SUM(DZ158,EB158)</f>
        <v>0</v>
      </c>
      <c r="DZ158" s="147"/>
      <c r="EA158" s="161"/>
      <c r="EB158" s="162"/>
      <c r="EC158" s="105">
        <f t="shared" ref="EC158:EC161" si="1648">SUM(ED158,EF158)</f>
        <v>741.24900000000014</v>
      </c>
      <c r="ED158" s="106">
        <f t="shared" ref="ED158:ED161" si="1649">DN158+DV158</f>
        <v>716.99900000000014</v>
      </c>
      <c r="EE158" s="107">
        <f t="shared" ref="EE158:EE161" si="1650">DO158+DW158</f>
        <v>598.98500000000001</v>
      </c>
      <c r="EF158" s="108">
        <f t="shared" ref="EF158:EF161" si="1651">DP158+DX158</f>
        <v>24.25</v>
      </c>
      <c r="EG158" s="105">
        <f t="shared" ref="EG158:EG161" si="1652">SUM(EH158,EJ158)</f>
        <v>0.27</v>
      </c>
      <c r="EH158" s="106">
        <f t="shared" ref="EH158:EH161" si="1653">DR158+DZ158</f>
        <v>0.27</v>
      </c>
      <c r="EI158" s="107">
        <f t="shared" ref="EI158:EI161" si="1654">DS158+EA158</f>
        <v>0</v>
      </c>
      <c r="EJ158" s="108">
        <f t="shared" ref="EJ158:EJ161" si="1655">DT158+EB158</f>
        <v>0</v>
      </c>
      <c r="EK158" s="163">
        <f t="shared" si="1402"/>
        <v>41.159999999999968</v>
      </c>
      <c r="EL158" s="163">
        <f t="shared" si="1403"/>
        <v>70.47099999999989</v>
      </c>
      <c r="EM158" s="105">
        <f>SUM(EN158,EP158)</f>
        <v>811.72</v>
      </c>
      <c r="EN158" s="106">
        <f>774.62+71-33.9</f>
        <v>811.72</v>
      </c>
      <c r="EO158" s="107">
        <f>703.75+1.18-33.25-1.1</f>
        <v>670.57999999999993</v>
      </c>
      <c r="EP158" s="108"/>
      <c r="EQ158" s="164">
        <f>SUM(ER158,ET158)</f>
        <v>0</v>
      </c>
      <c r="ER158" s="147">
        <v>0</v>
      </c>
      <c r="ES158" s="107"/>
      <c r="ET158" s="108"/>
    </row>
    <row r="159" spans="1:150" s="4" customFormat="1" ht="21.65" customHeight="1" x14ac:dyDescent="0.25">
      <c r="A159" s="716"/>
      <c r="B159" s="719"/>
      <c r="C159" s="48" t="s">
        <v>89</v>
      </c>
      <c r="D159" s="139" t="s">
        <v>52</v>
      </c>
      <c r="E159" s="105">
        <f>SUM(F159,H159)</f>
        <v>43.597999999999999</v>
      </c>
      <c r="F159" s="106">
        <f>8.49+0.125+29.185+J159</f>
        <v>43.597999999999999</v>
      </c>
      <c r="G159" s="107">
        <v>8.49</v>
      </c>
      <c r="H159" s="108"/>
      <c r="I159" s="105">
        <f>SUM(J159,L159)</f>
        <v>5.798</v>
      </c>
      <c r="J159" s="106">
        <v>5.798</v>
      </c>
      <c r="K159" s="107"/>
      <c r="L159" s="108"/>
      <c r="M159" s="105">
        <f>SUM(N159,P159)</f>
        <v>0</v>
      </c>
      <c r="N159" s="106"/>
      <c r="O159" s="107"/>
      <c r="P159" s="108"/>
      <c r="Q159" s="105">
        <f>SUM(R159,T159)</f>
        <v>0</v>
      </c>
      <c r="R159" s="106"/>
      <c r="S159" s="107"/>
      <c r="T159" s="108"/>
      <c r="U159" s="105">
        <f t="shared" ref="U159:U161" si="1656">SUM(V159,X159)</f>
        <v>43.597999999999999</v>
      </c>
      <c r="V159" s="106">
        <f t="shared" ref="V159:V161" si="1657">F159+N159</f>
        <v>43.597999999999999</v>
      </c>
      <c r="W159" s="107">
        <f t="shared" ref="W159:W161" si="1658">G159+O159</f>
        <v>8.49</v>
      </c>
      <c r="X159" s="108">
        <f t="shared" ref="X159:X161" si="1659">H159+P159</f>
        <v>0</v>
      </c>
      <c r="Y159" s="105">
        <f t="shared" ref="Y159:Y161" si="1660">SUM(Z159,AB159)</f>
        <v>5.798</v>
      </c>
      <c r="Z159" s="106">
        <f t="shared" ref="Z159:Z161" si="1661">J159+R159</f>
        <v>5.798</v>
      </c>
      <c r="AA159" s="107">
        <f t="shared" ref="AA159:AA161" si="1662">K159+S159</f>
        <v>0</v>
      </c>
      <c r="AB159" s="108">
        <f t="shared" ref="AB159:AB161" si="1663">L159+T159</f>
        <v>0</v>
      </c>
      <c r="AC159" s="105">
        <f>SUM(AD159,AF159)</f>
        <v>0</v>
      </c>
      <c r="AD159" s="106"/>
      <c r="AE159" s="107"/>
      <c r="AF159" s="108"/>
      <c r="AG159" s="105">
        <f>SUM(AH159,AJ159)</f>
        <v>0</v>
      </c>
      <c r="AH159" s="106"/>
      <c r="AI159" s="107"/>
      <c r="AJ159" s="108"/>
      <c r="AK159" s="105">
        <f t="shared" si="1600"/>
        <v>43.597999999999999</v>
      </c>
      <c r="AL159" s="106">
        <f t="shared" si="1601"/>
        <v>43.597999999999999</v>
      </c>
      <c r="AM159" s="107">
        <f t="shared" si="1602"/>
        <v>8.49</v>
      </c>
      <c r="AN159" s="108">
        <f t="shared" si="1603"/>
        <v>0</v>
      </c>
      <c r="AO159" s="105">
        <f t="shared" si="1604"/>
        <v>5.798</v>
      </c>
      <c r="AP159" s="106">
        <f t="shared" si="1605"/>
        <v>5.798</v>
      </c>
      <c r="AQ159" s="107">
        <f t="shared" si="1606"/>
        <v>0</v>
      </c>
      <c r="AR159" s="108">
        <f t="shared" si="1607"/>
        <v>0</v>
      </c>
      <c r="AS159" s="105">
        <f>SUM(AT159,AV159)</f>
        <v>0</v>
      </c>
      <c r="AT159" s="106"/>
      <c r="AU159" s="107"/>
      <c r="AV159" s="108"/>
      <c r="AW159" s="105">
        <f>SUM(AX159,AZ159)</f>
        <v>0</v>
      </c>
      <c r="AX159" s="106"/>
      <c r="AY159" s="107"/>
      <c r="AZ159" s="108"/>
      <c r="BA159" s="105">
        <f t="shared" si="1608"/>
        <v>43.597999999999999</v>
      </c>
      <c r="BB159" s="106">
        <f t="shared" si="1609"/>
        <v>43.597999999999999</v>
      </c>
      <c r="BC159" s="107">
        <f t="shared" si="1610"/>
        <v>8.49</v>
      </c>
      <c r="BD159" s="108">
        <f t="shared" si="1611"/>
        <v>0</v>
      </c>
      <c r="BE159" s="105">
        <f t="shared" si="1612"/>
        <v>5.798</v>
      </c>
      <c r="BF159" s="106">
        <f t="shared" si="1613"/>
        <v>5.798</v>
      </c>
      <c r="BG159" s="107">
        <f t="shared" si="1614"/>
        <v>0</v>
      </c>
      <c r="BH159" s="108">
        <f t="shared" si="1615"/>
        <v>0</v>
      </c>
      <c r="BI159" s="105">
        <f>SUM(BJ159,BL159)</f>
        <v>-0.40799999999999997</v>
      </c>
      <c r="BJ159" s="106">
        <v>-0.40799999999999997</v>
      </c>
      <c r="BK159" s="107"/>
      <c r="BL159" s="108"/>
      <c r="BM159" s="105">
        <f>SUM(BN159,BP159)</f>
        <v>0</v>
      </c>
      <c r="BN159" s="106"/>
      <c r="BO159" s="107"/>
      <c r="BP159" s="108"/>
      <c r="BQ159" s="105">
        <f t="shared" si="1616"/>
        <v>43.19</v>
      </c>
      <c r="BR159" s="106">
        <f t="shared" si="1617"/>
        <v>43.19</v>
      </c>
      <c r="BS159" s="107">
        <f t="shared" si="1618"/>
        <v>8.49</v>
      </c>
      <c r="BT159" s="108">
        <f t="shared" si="1619"/>
        <v>0</v>
      </c>
      <c r="BU159" s="105">
        <f t="shared" si="1620"/>
        <v>5.798</v>
      </c>
      <c r="BV159" s="106">
        <f t="shared" si="1621"/>
        <v>5.798</v>
      </c>
      <c r="BW159" s="107">
        <f t="shared" si="1622"/>
        <v>0</v>
      </c>
      <c r="BX159" s="108">
        <f t="shared" si="1623"/>
        <v>0</v>
      </c>
      <c r="BY159" s="164">
        <f>SUM(BZ159,CB159)</f>
        <v>0</v>
      </c>
      <c r="BZ159" s="147"/>
      <c r="CA159" s="161"/>
      <c r="CB159" s="162"/>
      <c r="CC159" s="164">
        <f>SUM(CD159,CF159)</f>
        <v>0</v>
      </c>
      <c r="CD159" s="147"/>
      <c r="CE159" s="161"/>
      <c r="CF159" s="162"/>
      <c r="CG159" s="105">
        <f t="shared" si="1624"/>
        <v>43.19</v>
      </c>
      <c r="CH159" s="106">
        <f t="shared" si="1625"/>
        <v>43.19</v>
      </c>
      <c r="CI159" s="107">
        <f t="shared" si="1626"/>
        <v>8.49</v>
      </c>
      <c r="CJ159" s="108">
        <f t="shared" si="1627"/>
        <v>0</v>
      </c>
      <c r="CK159" s="105">
        <f t="shared" si="1628"/>
        <v>5.798</v>
      </c>
      <c r="CL159" s="106">
        <f t="shared" si="1629"/>
        <v>5.798</v>
      </c>
      <c r="CM159" s="107">
        <f t="shared" si="1630"/>
        <v>0</v>
      </c>
      <c r="CN159" s="108">
        <f t="shared" si="1631"/>
        <v>0</v>
      </c>
      <c r="CO159" s="164">
        <f>SUM(CP159,CR159)</f>
        <v>0</v>
      </c>
      <c r="CP159" s="147"/>
      <c r="CQ159" s="161"/>
      <c r="CR159" s="162"/>
      <c r="CS159" s="164">
        <f>SUM(CT159,CV159)</f>
        <v>0</v>
      </c>
      <c r="CT159" s="147"/>
      <c r="CU159" s="161"/>
      <c r="CV159" s="162"/>
      <c r="CW159" s="105">
        <f t="shared" si="1632"/>
        <v>43.19</v>
      </c>
      <c r="CX159" s="106">
        <f t="shared" si="1633"/>
        <v>43.19</v>
      </c>
      <c r="CY159" s="107">
        <f t="shared" si="1634"/>
        <v>8.49</v>
      </c>
      <c r="CZ159" s="108">
        <f t="shared" si="1635"/>
        <v>0</v>
      </c>
      <c r="DA159" s="105">
        <f t="shared" si="1636"/>
        <v>5.798</v>
      </c>
      <c r="DB159" s="106">
        <f t="shared" si="1637"/>
        <v>5.798</v>
      </c>
      <c r="DC159" s="107">
        <f t="shared" si="1638"/>
        <v>0</v>
      </c>
      <c r="DD159" s="108">
        <f t="shared" si="1639"/>
        <v>0</v>
      </c>
      <c r="DE159" s="164">
        <f>SUM(DF159,DH159)</f>
        <v>0</v>
      </c>
      <c r="DF159" s="147"/>
      <c r="DG159" s="161"/>
      <c r="DH159" s="162"/>
      <c r="DI159" s="164">
        <f>SUM(DJ159,DL159)</f>
        <v>0</v>
      </c>
      <c r="DJ159" s="147"/>
      <c r="DK159" s="161"/>
      <c r="DL159" s="162"/>
      <c r="DM159" s="105">
        <f t="shared" si="1640"/>
        <v>43.19</v>
      </c>
      <c r="DN159" s="106">
        <f t="shared" si="1641"/>
        <v>43.19</v>
      </c>
      <c r="DO159" s="107">
        <f t="shared" si="1642"/>
        <v>8.49</v>
      </c>
      <c r="DP159" s="108">
        <f t="shared" si="1643"/>
        <v>0</v>
      </c>
      <c r="DQ159" s="105">
        <f t="shared" si="1644"/>
        <v>5.798</v>
      </c>
      <c r="DR159" s="106">
        <f t="shared" si="1645"/>
        <v>5.798</v>
      </c>
      <c r="DS159" s="107">
        <f t="shared" si="1646"/>
        <v>0</v>
      </c>
      <c r="DT159" s="108">
        <f t="shared" si="1647"/>
        <v>0</v>
      </c>
      <c r="DU159" s="164">
        <f>SUM(DV159,DX159)</f>
        <v>3</v>
      </c>
      <c r="DV159" s="147">
        <v>3</v>
      </c>
      <c r="DW159" s="161"/>
      <c r="DX159" s="162"/>
      <c r="DY159" s="164">
        <f>SUM(DZ159,EB159)</f>
        <v>0</v>
      </c>
      <c r="DZ159" s="147"/>
      <c r="EA159" s="161"/>
      <c r="EB159" s="162"/>
      <c r="EC159" s="105">
        <f t="shared" si="1648"/>
        <v>46.19</v>
      </c>
      <c r="ED159" s="106">
        <f t="shared" si="1649"/>
        <v>46.19</v>
      </c>
      <c r="EE159" s="107">
        <f t="shared" si="1650"/>
        <v>8.49</v>
      </c>
      <c r="EF159" s="108">
        <f t="shared" si="1651"/>
        <v>0</v>
      </c>
      <c r="EG159" s="105">
        <f t="shared" si="1652"/>
        <v>5.798</v>
      </c>
      <c r="EH159" s="106">
        <f t="shared" si="1653"/>
        <v>5.798</v>
      </c>
      <c r="EI159" s="107">
        <f t="shared" si="1654"/>
        <v>0</v>
      </c>
      <c r="EJ159" s="108">
        <f t="shared" si="1655"/>
        <v>0</v>
      </c>
      <c r="EK159" s="163">
        <f t="shared" si="1402"/>
        <v>2.6610000000000014</v>
      </c>
      <c r="EL159" s="163">
        <f t="shared" si="1403"/>
        <v>6.9000000000002615E-2</v>
      </c>
      <c r="EM159" s="105">
        <f>SUM(EN159,EP159)</f>
        <v>46.259</v>
      </c>
      <c r="EN159" s="106">
        <f>ER159+39.7-0.2</f>
        <v>42.259</v>
      </c>
      <c r="EO159" s="107">
        <v>10.28</v>
      </c>
      <c r="EP159" s="108">
        <v>4</v>
      </c>
      <c r="EQ159" s="105">
        <f>SUM(ER159,ET159)</f>
        <v>2.7589999999999999</v>
      </c>
      <c r="ER159" s="106">
        <v>2.7589999999999999</v>
      </c>
      <c r="ES159" s="107"/>
      <c r="ET159" s="108"/>
    </row>
    <row r="160" spans="1:150" s="4" customFormat="1" ht="21.65" customHeight="1" x14ac:dyDescent="0.25">
      <c r="A160" s="42" t="s">
        <v>33</v>
      </c>
      <c r="B160" s="103" t="s">
        <v>47</v>
      </c>
      <c r="C160" s="48" t="s">
        <v>171</v>
      </c>
      <c r="D160" s="139" t="s">
        <v>37</v>
      </c>
      <c r="E160" s="105">
        <f>SUM(F160,H160)</f>
        <v>2.76</v>
      </c>
      <c r="F160" s="106">
        <v>2.76</v>
      </c>
      <c r="G160" s="107"/>
      <c r="H160" s="108"/>
      <c r="I160" s="105">
        <f>SUM(J160,L160)</f>
        <v>0</v>
      </c>
      <c r="J160" s="106"/>
      <c r="K160" s="107"/>
      <c r="L160" s="108"/>
      <c r="M160" s="105">
        <f>SUM(N160,P160)</f>
        <v>0</v>
      </c>
      <c r="N160" s="106"/>
      <c r="O160" s="107"/>
      <c r="P160" s="108"/>
      <c r="Q160" s="105">
        <f>SUM(R160,T160)</f>
        <v>0</v>
      </c>
      <c r="R160" s="106"/>
      <c r="S160" s="107"/>
      <c r="T160" s="108"/>
      <c r="U160" s="105">
        <f t="shared" si="1656"/>
        <v>2.76</v>
      </c>
      <c r="V160" s="106">
        <f t="shared" si="1657"/>
        <v>2.76</v>
      </c>
      <c r="W160" s="107">
        <f t="shared" si="1658"/>
        <v>0</v>
      </c>
      <c r="X160" s="108">
        <f t="shared" si="1659"/>
        <v>0</v>
      </c>
      <c r="Y160" s="105">
        <f t="shared" si="1660"/>
        <v>0</v>
      </c>
      <c r="Z160" s="106">
        <f t="shared" si="1661"/>
        <v>0</v>
      </c>
      <c r="AA160" s="107">
        <f t="shared" si="1662"/>
        <v>0</v>
      </c>
      <c r="AB160" s="108">
        <f t="shared" si="1663"/>
        <v>0</v>
      </c>
      <c r="AC160" s="105">
        <f>SUM(AD160,AF160)</f>
        <v>0</v>
      </c>
      <c r="AD160" s="106"/>
      <c r="AE160" s="107"/>
      <c r="AF160" s="108"/>
      <c r="AG160" s="105">
        <f>SUM(AH160,AJ160)</f>
        <v>0</v>
      </c>
      <c r="AH160" s="106"/>
      <c r="AI160" s="107"/>
      <c r="AJ160" s="108"/>
      <c r="AK160" s="105">
        <f t="shared" si="1600"/>
        <v>2.76</v>
      </c>
      <c r="AL160" s="106">
        <f t="shared" si="1601"/>
        <v>2.76</v>
      </c>
      <c r="AM160" s="107">
        <f t="shared" si="1602"/>
        <v>0</v>
      </c>
      <c r="AN160" s="108">
        <f t="shared" si="1603"/>
        <v>0</v>
      </c>
      <c r="AO160" s="105">
        <f t="shared" si="1604"/>
        <v>0</v>
      </c>
      <c r="AP160" s="106">
        <f t="shared" si="1605"/>
        <v>0</v>
      </c>
      <c r="AQ160" s="107">
        <f t="shared" si="1606"/>
        <v>0</v>
      </c>
      <c r="AR160" s="108">
        <f t="shared" si="1607"/>
        <v>0</v>
      </c>
      <c r="AS160" s="105">
        <f>SUM(AT160,AV160)</f>
        <v>0</v>
      </c>
      <c r="AT160" s="106"/>
      <c r="AU160" s="107"/>
      <c r="AV160" s="108"/>
      <c r="AW160" s="105">
        <f>SUM(AX160,AZ160)</f>
        <v>0</v>
      </c>
      <c r="AX160" s="106"/>
      <c r="AY160" s="107"/>
      <c r="AZ160" s="108"/>
      <c r="BA160" s="105">
        <f t="shared" si="1608"/>
        <v>2.76</v>
      </c>
      <c r="BB160" s="106">
        <f t="shared" si="1609"/>
        <v>2.76</v>
      </c>
      <c r="BC160" s="107">
        <f t="shared" si="1610"/>
        <v>0</v>
      </c>
      <c r="BD160" s="108">
        <f t="shared" si="1611"/>
        <v>0</v>
      </c>
      <c r="BE160" s="105">
        <f t="shared" si="1612"/>
        <v>0</v>
      </c>
      <c r="BF160" s="106">
        <f t="shared" si="1613"/>
        <v>0</v>
      </c>
      <c r="BG160" s="107">
        <f t="shared" si="1614"/>
        <v>0</v>
      </c>
      <c r="BH160" s="108">
        <f t="shared" si="1615"/>
        <v>0</v>
      </c>
      <c r="BI160" s="105">
        <f>SUM(BJ160,BL160)</f>
        <v>0</v>
      </c>
      <c r="BJ160" s="106"/>
      <c r="BK160" s="107"/>
      <c r="BL160" s="108"/>
      <c r="BM160" s="105">
        <f>SUM(BN160,BP160)</f>
        <v>0</v>
      </c>
      <c r="BN160" s="106"/>
      <c r="BO160" s="107"/>
      <c r="BP160" s="108"/>
      <c r="BQ160" s="105">
        <f t="shared" si="1616"/>
        <v>2.76</v>
      </c>
      <c r="BR160" s="106">
        <f t="shared" si="1617"/>
        <v>2.76</v>
      </c>
      <c r="BS160" s="107">
        <f t="shared" si="1618"/>
        <v>0</v>
      </c>
      <c r="BT160" s="108">
        <f t="shared" si="1619"/>
        <v>0</v>
      </c>
      <c r="BU160" s="105">
        <f t="shared" si="1620"/>
        <v>0</v>
      </c>
      <c r="BV160" s="106">
        <f t="shared" si="1621"/>
        <v>0</v>
      </c>
      <c r="BW160" s="107">
        <f t="shared" si="1622"/>
        <v>0</v>
      </c>
      <c r="BX160" s="108">
        <f t="shared" si="1623"/>
        <v>0</v>
      </c>
      <c r="BY160" s="164">
        <f>SUM(BZ160,CB160)</f>
        <v>0</v>
      </c>
      <c r="BZ160" s="147"/>
      <c r="CA160" s="161"/>
      <c r="CB160" s="162"/>
      <c r="CC160" s="164">
        <f>SUM(CD160,CF160)</f>
        <v>0</v>
      </c>
      <c r="CD160" s="147"/>
      <c r="CE160" s="161"/>
      <c r="CF160" s="162"/>
      <c r="CG160" s="105">
        <f t="shared" si="1624"/>
        <v>2.76</v>
      </c>
      <c r="CH160" s="106">
        <f t="shared" si="1625"/>
        <v>2.76</v>
      </c>
      <c r="CI160" s="107">
        <f t="shared" si="1626"/>
        <v>0</v>
      </c>
      <c r="CJ160" s="108">
        <f t="shared" si="1627"/>
        <v>0</v>
      </c>
      <c r="CK160" s="105">
        <f t="shared" si="1628"/>
        <v>0</v>
      </c>
      <c r="CL160" s="106">
        <f t="shared" si="1629"/>
        <v>0</v>
      </c>
      <c r="CM160" s="107">
        <f t="shared" si="1630"/>
        <v>0</v>
      </c>
      <c r="CN160" s="108">
        <f t="shared" si="1631"/>
        <v>0</v>
      </c>
      <c r="CO160" s="164">
        <f>SUM(CP160,CR160)</f>
        <v>0</v>
      </c>
      <c r="CP160" s="147"/>
      <c r="CQ160" s="161"/>
      <c r="CR160" s="162"/>
      <c r="CS160" s="164">
        <f>SUM(CT160,CV160)</f>
        <v>0</v>
      </c>
      <c r="CT160" s="147"/>
      <c r="CU160" s="161"/>
      <c r="CV160" s="162"/>
      <c r="CW160" s="105">
        <f t="shared" si="1632"/>
        <v>2.76</v>
      </c>
      <c r="CX160" s="106">
        <f t="shared" si="1633"/>
        <v>2.76</v>
      </c>
      <c r="CY160" s="107">
        <f t="shared" si="1634"/>
        <v>0</v>
      </c>
      <c r="CZ160" s="108">
        <f t="shared" si="1635"/>
        <v>0</v>
      </c>
      <c r="DA160" s="105">
        <f t="shared" si="1636"/>
        <v>0</v>
      </c>
      <c r="DB160" s="106">
        <f t="shared" si="1637"/>
        <v>0</v>
      </c>
      <c r="DC160" s="107">
        <f t="shared" si="1638"/>
        <v>0</v>
      </c>
      <c r="DD160" s="108">
        <f t="shared" si="1639"/>
        <v>0</v>
      </c>
      <c r="DE160" s="164">
        <f>SUM(DF160,DH160)</f>
        <v>0</v>
      </c>
      <c r="DF160" s="147"/>
      <c r="DG160" s="161"/>
      <c r="DH160" s="162"/>
      <c r="DI160" s="164">
        <f>SUM(DJ160,DL160)</f>
        <v>0</v>
      </c>
      <c r="DJ160" s="147"/>
      <c r="DK160" s="161"/>
      <c r="DL160" s="162"/>
      <c r="DM160" s="105">
        <f t="shared" si="1640"/>
        <v>2.76</v>
      </c>
      <c r="DN160" s="106">
        <f t="shared" si="1641"/>
        <v>2.76</v>
      </c>
      <c r="DO160" s="107">
        <f t="shared" si="1642"/>
        <v>0</v>
      </c>
      <c r="DP160" s="108">
        <f t="shared" si="1643"/>
        <v>0</v>
      </c>
      <c r="DQ160" s="105">
        <f t="shared" si="1644"/>
        <v>0</v>
      </c>
      <c r="DR160" s="106">
        <f t="shared" si="1645"/>
        <v>0</v>
      </c>
      <c r="DS160" s="107">
        <f t="shared" si="1646"/>
        <v>0</v>
      </c>
      <c r="DT160" s="108">
        <f t="shared" si="1647"/>
        <v>0</v>
      </c>
      <c r="DU160" s="164">
        <f>SUM(DV160,DX160)</f>
        <v>0</v>
      </c>
      <c r="DV160" s="147"/>
      <c r="DW160" s="161"/>
      <c r="DX160" s="162"/>
      <c r="DY160" s="164">
        <f>SUM(DZ160,EB160)</f>
        <v>0</v>
      </c>
      <c r="DZ160" s="147"/>
      <c r="EA160" s="161"/>
      <c r="EB160" s="162"/>
      <c r="EC160" s="105">
        <f t="shared" si="1648"/>
        <v>2.76</v>
      </c>
      <c r="ED160" s="106">
        <f t="shared" si="1649"/>
        <v>2.76</v>
      </c>
      <c r="EE160" s="107">
        <f t="shared" si="1650"/>
        <v>0</v>
      </c>
      <c r="EF160" s="108">
        <f t="shared" si="1651"/>
        <v>0</v>
      </c>
      <c r="EG160" s="105">
        <f t="shared" si="1652"/>
        <v>0</v>
      </c>
      <c r="EH160" s="106">
        <f t="shared" si="1653"/>
        <v>0</v>
      </c>
      <c r="EI160" s="107">
        <f t="shared" si="1654"/>
        <v>0</v>
      </c>
      <c r="EJ160" s="108">
        <f t="shared" si="1655"/>
        <v>0</v>
      </c>
      <c r="EK160" s="154">
        <f t="shared" si="1402"/>
        <v>-0.7799999999999998</v>
      </c>
      <c r="EL160" s="154">
        <f t="shared" si="1403"/>
        <v>-0.7799999999999998</v>
      </c>
      <c r="EM160" s="105">
        <f>SUM(EN160,EP160)</f>
        <v>1.98</v>
      </c>
      <c r="EN160" s="106">
        <v>1.98</v>
      </c>
      <c r="EO160" s="107"/>
      <c r="EP160" s="108"/>
      <c r="EQ160" s="105">
        <f>SUM(ER160,ET160)</f>
        <v>0</v>
      </c>
      <c r="ER160" s="106"/>
      <c r="ES160" s="107"/>
      <c r="ET160" s="108"/>
    </row>
    <row r="161" spans="1:150" s="4" customFormat="1" ht="21.65" customHeight="1" x14ac:dyDescent="0.3">
      <c r="A161" s="58" t="s">
        <v>7</v>
      </c>
      <c r="B161" s="55" t="s">
        <v>49</v>
      </c>
      <c r="C161" s="48" t="s">
        <v>172</v>
      </c>
      <c r="D161" s="95" t="s">
        <v>37</v>
      </c>
      <c r="E161" s="105">
        <f t="shared" ref="E161" si="1664">SUM(F161,H161)</f>
        <v>9.4130000000000003</v>
      </c>
      <c r="F161" s="106">
        <f>J161</f>
        <v>6.4119999999999999</v>
      </c>
      <c r="G161" s="107"/>
      <c r="H161" s="108">
        <f>L161</f>
        <v>3.0009999999999999</v>
      </c>
      <c r="I161" s="105">
        <f t="shared" ref="I161" si="1665">SUM(J161,L161)</f>
        <v>9.4130000000000003</v>
      </c>
      <c r="J161" s="106">
        <v>6.4119999999999999</v>
      </c>
      <c r="K161" s="107"/>
      <c r="L161" s="108">
        <v>3.0009999999999999</v>
      </c>
      <c r="M161" s="105">
        <f t="shared" ref="M161" si="1666">SUM(N161,P161)</f>
        <v>0</v>
      </c>
      <c r="N161" s="106"/>
      <c r="O161" s="107"/>
      <c r="P161" s="108"/>
      <c r="Q161" s="105">
        <f t="shared" ref="Q161" si="1667">SUM(R161,T161)</f>
        <v>0</v>
      </c>
      <c r="R161" s="106"/>
      <c r="S161" s="107"/>
      <c r="T161" s="108"/>
      <c r="U161" s="105">
        <f t="shared" si="1656"/>
        <v>9.4130000000000003</v>
      </c>
      <c r="V161" s="106">
        <f t="shared" si="1657"/>
        <v>6.4119999999999999</v>
      </c>
      <c r="W161" s="107">
        <f t="shared" si="1658"/>
        <v>0</v>
      </c>
      <c r="X161" s="108">
        <f t="shared" si="1659"/>
        <v>3.0009999999999999</v>
      </c>
      <c r="Y161" s="105">
        <f t="shared" si="1660"/>
        <v>9.4130000000000003</v>
      </c>
      <c r="Z161" s="106">
        <f t="shared" si="1661"/>
        <v>6.4119999999999999</v>
      </c>
      <c r="AA161" s="107">
        <f t="shared" si="1662"/>
        <v>0</v>
      </c>
      <c r="AB161" s="108">
        <f t="shared" si="1663"/>
        <v>3.0009999999999999</v>
      </c>
      <c r="AC161" s="105">
        <f t="shared" ref="AC161" si="1668">SUM(AD161,AF161)</f>
        <v>20.273</v>
      </c>
      <c r="AD161" s="106">
        <v>20.273</v>
      </c>
      <c r="AE161" s="107"/>
      <c r="AF161" s="108"/>
      <c r="AG161" s="105">
        <f t="shared" ref="AG161" si="1669">SUM(AH161,AJ161)</f>
        <v>0</v>
      </c>
      <c r="AH161" s="106"/>
      <c r="AI161" s="107"/>
      <c r="AJ161" s="108"/>
      <c r="AK161" s="105">
        <f t="shared" si="1600"/>
        <v>29.686</v>
      </c>
      <c r="AL161" s="106">
        <f t="shared" si="1601"/>
        <v>26.684999999999999</v>
      </c>
      <c r="AM161" s="107">
        <f t="shared" si="1602"/>
        <v>0</v>
      </c>
      <c r="AN161" s="108">
        <f t="shared" si="1603"/>
        <v>3.0009999999999999</v>
      </c>
      <c r="AO161" s="105">
        <f t="shared" si="1604"/>
        <v>9.4130000000000003</v>
      </c>
      <c r="AP161" s="106">
        <f t="shared" si="1605"/>
        <v>6.4119999999999999</v>
      </c>
      <c r="AQ161" s="107">
        <f t="shared" si="1606"/>
        <v>0</v>
      </c>
      <c r="AR161" s="108">
        <f t="shared" si="1607"/>
        <v>3.0009999999999999</v>
      </c>
      <c r="AS161" s="105">
        <f t="shared" ref="AS161" si="1670">SUM(AT161,AV161)</f>
        <v>0</v>
      </c>
      <c r="AT161" s="106"/>
      <c r="AU161" s="107"/>
      <c r="AV161" s="108"/>
      <c r="AW161" s="105">
        <f t="shared" ref="AW161" si="1671">SUM(AX161,AZ161)</f>
        <v>0</v>
      </c>
      <c r="AX161" s="106"/>
      <c r="AY161" s="107"/>
      <c r="AZ161" s="108"/>
      <c r="BA161" s="105">
        <f t="shared" si="1608"/>
        <v>29.686</v>
      </c>
      <c r="BB161" s="106">
        <f t="shared" si="1609"/>
        <v>26.684999999999999</v>
      </c>
      <c r="BC161" s="107">
        <f t="shared" si="1610"/>
        <v>0</v>
      </c>
      <c r="BD161" s="108">
        <f t="shared" si="1611"/>
        <v>3.0009999999999999</v>
      </c>
      <c r="BE161" s="105">
        <f t="shared" si="1612"/>
        <v>9.4130000000000003</v>
      </c>
      <c r="BF161" s="106">
        <f t="shared" si="1613"/>
        <v>6.4119999999999999</v>
      </c>
      <c r="BG161" s="107">
        <f t="shared" si="1614"/>
        <v>0</v>
      </c>
      <c r="BH161" s="108">
        <f t="shared" si="1615"/>
        <v>3.0009999999999999</v>
      </c>
      <c r="BI161" s="105">
        <f t="shared" ref="BI161" si="1672">SUM(BJ161,BL161)</f>
        <v>9.4700000000000006</v>
      </c>
      <c r="BJ161" s="106"/>
      <c r="BK161" s="107"/>
      <c r="BL161" s="108">
        <v>9.4700000000000006</v>
      </c>
      <c r="BM161" s="105">
        <f t="shared" ref="BM161" si="1673">SUM(BN161,BP161)</f>
        <v>0</v>
      </c>
      <c r="BN161" s="106"/>
      <c r="BO161" s="107"/>
      <c r="BP161" s="108"/>
      <c r="BQ161" s="105">
        <f t="shared" si="1616"/>
        <v>39.155999999999999</v>
      </c>
      <c r="BR161" s="106">
        <f t="shared" si="1617"/>
        <v>26.684999999999999</v>
      </c>
      <c r="BS161" s="107">
        <f t="shared" si="1618"/>
        <v>0</v>
      </c>
      <c r="BT161" s="108">
        <f t="shared" si="1619"/>
        <v>12.471</v>
      </c>
      <c r="BU161" s="105">
        <f t="shared" si="1620"/>
        <v>9.4130000000000003</v>
      </c>
      <c r="BV161" s="106">
        <f t="shared" si="1621"/>
        <v>6.4119999999999999</v>
      </c>
      <c r="BW161" s="107">
        <f t="shared" si="1622"/>
        <v>0</v>
      </c>
      <c r="BX161" s="108">
        <f t="shared" si="1623"/>
        <v>3.0009999999999999</v>
      </c>
      <c r="BY161" s="164">
        <f t="shared" ref="BY161" si="1674">SUM(BZ161,CB161)</f>
        <v>0</v>
      </c>
      <c r="BZ161" s="147"/>
      <c r="CA161" s="161"/>
      <c r="CB161" s="162"/>
      <c r="CC161" s="164">
        <f t="shared" ref="CC161" si="1675">SUM(CD161,CF161)</f>
        <v>0</v>
      </c>
      <c r="CD161" s="147"/>
      <c r="CE161" s="161"/>
      <c r="CF161" s="162"/>
      <c r="CG161" s="105">
        <f t="shared" si="1624"/>
        <v>39.155999999999999</v>
      </c>
      <c r="CH161" s="106">
        <f t="shared" si="1625"/>
        <v>26.684999999999999</v>
      </c>
      <c r="CI161" s="107">
        <f t="shared" si="1626"/>
        <v>0</v>
      </c>
      <c r="CJ161" s="108">
        <f t="shared" si="1627"/>
        <v>12.471</v>
      </c>
      <c r="CK161" s="105">
        <f t="shared" si="1628"/>
        <v>9.4130000000000003</v>
      </c>
      <c r="CL161" s="106">
        <f t="shared" si="1629"/>
        <v>6.4119999999999999</v>
      </c>
      <c r="CM161" s="107">
        <f t="shared" si="1630"/>
        <v>0</v>
      </c>
      <c r="CN161" s="108">
        <f t="shared" si="1631"/>
        <v>3.0009999999999999</v>
      </c>
      <c r="CO161" s="164">
        <f t="shared" ref="CO161" si="1676">SUM(CP161,CR161)</f>
        <v>0</v>
      </c>
      <c r="CP161" s="147"/>
      <c r="CQ161" s="161"/>
      <c r="CR161" s="162"/>
      <c r="CS161" s="164">
        <f t="shared" ref="CS161" si="1677">SUM(CT161,CV161)</f>
        <v>0</v>
      </c>
      <c r="CT161" s="147"/>
      <c r="CU161" s="161"/>
      <c r="CV161" s="162"/>
      <c r="CW161" s="105">
        <f t="shared" si="1632"/>
        <v>39.155999999999999</v>
      </c>
      <c r="CX161" s="106">
        <f t="shared" si="1633"/>
        <v>26.684999999999999</v>
      </c>
      <c r="CY161" s="107">
        <f t="shared" si="1634"/>
        <v>0</v>
      </c>
      <c r="CZ161" s="108">
        <f t="shared" si="1635"/>
        <v>12.471</v>
      </c>
      <c r="DA161" s="105">
        <f t="shared" si="1636"/>
        <v>9.4130000000000003</v>
      </c>
      <c r="DB161" s="106">
        <f t="shared" si="1637"/>
        <v>6.4119999999999999</v>
      </c>
      <c r="DC161" s="107">
        <f t="shared" si="1638"/>
        <v>0</v>
      </c>
      <c r="DD161" s="108">
        <f t="shared" si="1639"/>
        <v>3.0009999999999999</v>
      </c>
      <c r="DE161" s="164">
        <f t="shared" ref="DE161" si="1678">SUM(DF161,DH161)</f>
        <v>0</v>
      </c>
      <c r="DF161" s="147"/>
      <c r="DG161" s="161"/>
      <c r="DH161" s="162"/>
      <c r="DI161" s="164">
        <f t="shared" ref="DI161" si="1679">SUM(DJ161,DL161)</f>
        <v>0</v>
      </c>
      <c r="DJ161" s="147"/>
      <c r="DK161" s="161"/>
      <c r="DL161" s="162"/>
      <c r="DM161" s="105">
        <f t="shared" si="1640"/>
        <v>39.155999999999999</v>
      </c>
      <c r="DN161" s="106">
        <f t="shared" si="1641"/>
        <v>26.684999999999999</v>
      </c>
      <c r="DO161" s="107">
        <f t="shared" si="1642"/>
        <v>0</v>
      </c>
      <c r="DP161" s="108">
        <f t="shared" si="1643"/>
        <v>12.471</v>
      </c>
      <c r="DQ161" s="105">
        <f t="shared" si="1644"/>
        <v>9.4130000000000003</v>
      </c>
      <c r="DR161" s="106">
        <f t="shared" si="1645"/>
        <v>6.4119999999999999</v>
      </c>
      <c r="DS161" s="107">
        <f t="shared" si="1646"/>
        <v>0</v>
      </c>
      <c r="DT161" s="108">
        <f t="shared" si="1647"/>
        <v>3.0009999999999999</v>
      </c>
      <c r="DU161" s="164">
        <f t="shared" ref="DU161" si="1680">SUM(DV161,DX161)</f>
        <v>0</v>
      </c>
      <c r="DV161" s="147"/>
      <c r="DW161" s="161"/>
      <c r="DX161" s="162"/>
      <c r="DY161" s="164">
        <f t="shared" ref="DY161" si="1681">SUM(DZ161,EB161)</f>
        <v>0</v>
      </c>
      <c r="DZ161" s="147"/>
      <c r="EA161" s="161"/>
      <c r="EB161" s="162"/>
      <c r="EC161" s="105">
        <f t="shared" si="1648"/>
        <v>39.155999999999999</v>
      </c>
      <c r="ED161" s="106">
        <f t="shared" si="1649"/>
        <v>26.684999999999999</v>
      </c>
      <c r="EE161" s="107">
        <f t="shared" si="1650"/>
        <v>0</v>
      </c>
      <c r="EF161" s="108">
        <f t="shared" si="1651"/>
        <v>12.471</v>
      </c>
      <c r="EG161" s="105">
        <f t="shared" si="1652"/>
        <v>9.4130000000000003</v>
      </c>
      <c r="EH161" s="106">
        <f t="shared" si="1653"/>
        <v>6.4119999999999999</v>
      </c>
      <c r="EI161" s="107">
        <f t="shared" si="1654"/>
        <v>0</v>
      </c>
      <c r="EJ161" s="108">
        <f t="shared" si="1655"/>
        <v>3.0009999999999999</v>
      </c>
      <c r="EK161" s="154">
        <f t="shared" si="1402"/>
        <v>-9.4130000000000003</v>
      </c>
      <c r="EL161" s="154">
        <f t="shared" si="1403"/>
        <v>-39.155999999999999</v>
      </c>
      <c r="EM161" s="105">
        <f t="shared" ref="EM161" si="1682">SUM(EN161,EP161)</f>
        <v>0</v>
      </c>
      <c r="EN161" s="106">
        <f>ER161</f>
        <v>0</v>
      </c>
      <c r="EO161" s="107"/>
      <c r="EP161" s="108">
        <f>ET161</f>
        <v>0</v>
      </c>
      <c r="EQ161" s="105">
        <f t="shared" ref="EQ161" si="1683">SUM(ER161,ET161)</f>
        <v>0</v>
      </c>
      <c r="ER161" s="106"/>
      <c r="ES161" s="107"/>
      <c r="ET161" s="108"/>
    </row>
    <row r="162" spans="1:150" ht="27.65" customHeight="1" x14ac:dyDescent="0.3">
      <c r="A162" s="46"/>
      <c r="B162" s="33" t="s">
        <v>16</v>
      </c>
      <c r="C162" s="47" t="s">
        <v>112</v>
      </c>
      <c r="D162" s="93"/>
      <c r="E162" s="148">
        <f>SUM(F162,H162)</f>
        <v>440.29700000000003</v>
      </c>
      <c r="F162" s="149">
        <f>SUM(F164:F169)</f>
        <v>417.36200000000002</v>
      </c>
      <c r="G162" s="150">
        <f>SUM(G164:G169)</f>
        <v>276.23</v>
      </c>
      <c r="H162" s="151">
        <f>SUM(H165:H169)</f>
        <v>22.935000000000002</v>
      </c>
      <c r="I162" s="148">
        <f>SUM(J162,L162)</f>
        <v>46.207000000000008</v>
      </c>
      <c r="J162" s="149">
        <f>SUM(J165:J169)</f>
        <v>28.272000000000002</v>
      </c>
      <c r="K162" s="150">
        <f>SUM(K165:K169)</f>
        <v>0</v>
      </c>
      <c r="L162" s="151">
        <f>SUM(L165:L169)</f>
        <v>17.935000000000002</v>
      </c>
      <c r="M162" s="148">
        <f>SUM(N162,P162)</f>
        <v>1.0269999999999999</v>
      </c>
      <c r="N162" s="149">
        <f>SUM(N164:N169)</f>
        <v>0</v>
      </c>
      <c r="O162" s="150">
        <f>SUM(O164:O169)</f>
        <v>0</v>
      </c>
      <c r="P162" s="151">
        <f>SUM(P165:P169)</f>
        <v>1.0269999999999999</v>
      </c>
      <c r="Q162" s="148">
        <f>SUM(R162,T162)</f>
        <v>1.0269999999999999</v>
      </c>
      <c r="R162" s="149">
        <f>SUM(R165:R169)</f>
        <v>0</v>
      </c>
      <c r="S162" s="150">
        <f>SUM(S165:S169)</f>
        <v>0</v>
      </c>
      <c r="T162" s="151">
        <f>SUM(T165:T169)</f>
        <v>1.0269999999999999</v>
      </c>
      <c r="U162" s="148">
        <f>SUM(V162,X162)</f>
        <v>441.32400000000001</v>
      </c>
      <c r="V162" s="149">
        <f>SUM(V164:V169)</f>
        <v>417.36200000000002</v>
      </c>
      <c r="W162" s="150">
        <f>SUM(W164:W169)</f>
        <v>276.23</v>
      </c>
      <c r="X162" s="151">
        <f>SUM(X165:X169)</f>
        <v>23.962000000000003</v>
      </c>
      <c r="Y162" s="148">
        <f>SUM(Z162,AB162)</f>
        <v>47.234000000000009</v>
      </c>
      <c r="Z162" s="149">
        <f>SUM(Z165:Z169)</f>
        <v>28.272000000000002</v>
      </c>
      <c r="AA162" s="150">
        <f>SUM(AA165:AA169)</f>
        <v>0</v>
      </c>
      <c r="AB162" s="151">
        <f>SUM(AB165:AB169)</f>
        <v>18.962000000000003</v>
      </c>
      <c r="AC162" s="148">
        <f>SUM(AD162,AF162)</f>
        <v>8.0269999999999992</v>
      </c>
      <c r="AD162" s="149">
        <f>SUM(AD164:AD169)</f>
        <v>8.0269999999999992</v>
      </c>
      <c r="AE162" s="150">
        <f>SUM(AE164:AE169)</f>
        <v>0</v>
      </c>
      <c r="AF162" s="151">
        <f>SUM(AF165:AF169)</f>
        <v>0</v>
      </c>
      <c r="AG162" s="148">
        <f>SUM(AH162,AJ162)</f>
        <v>0</v>
      </c>
      <c r="AH162" s="149">
        <f>SUM(AH165:AH169)</f>
        <v>0</v>
      </c>
      <c r="AI162" s="150">
        <f>SUM(AI165:AI169)</f>
        <v>0</v>
      </c>
      <c r="AJ162" s="151">
        <f>SUM(AJ165:AJ169)</f>
        <v>0</v>
      </c>
      <c r="AK162" s="148">
        <f>SUM(AL162,AN162)</f>
        <v>449.351</v>
      </c>
      <c r="AL162" s="149">
        <f>SUM(AL164:AL169)</f>
        <v>425.38900000000001</v>
      </c>
      <c r="AM162" s="150">
        <f>SUM(AM164:AM169)</f>
        <v>276.23</v>
      </c>
      <c r="AN162" s="151">
        <f>SUM(AN165:AN169)</f>
        <v>23.962000000000003</v>
      </c>
      <c r="AO162" s="148">
        <f>SUM(AP162,AR162)</f>
        <v>47.234000000000009</v>
      </c>
      <c r="AP162" s="149">
        <f>SUM(AP165:AP169)</f>
        <v>28.272000000000002</v>
      </c>
      <c r="AQ162" s="150">
        <f>SUM(AQ165:AQ169)</f>
        <v>0</v>
      </c>
      <c r="AR162" s="151">
        <f>SUM(AR165:AR169)</f>
        <v>18.962000000000003</v>
      </c>
      <c r="AS162" s="148">
        <f>SUM(AT162,AV162)</f>
        <v>0</v>
      </c>
      <c r="AT162" s="149">
        <f>SUM(AT164:AT169)</f>
        <v>0</v>
      </c>
      <c r="AU162" s="150">
        <f>SUM(AU164:AU169)</f>
        <v>0</v>
      </c>
      <c r="AV162" s="151">
        <f>SUM(AV165:AV169)</f>
        <v>0</v>
      </c>
      <c r="AW162" s="148">
        <f>SUM(AX162,AZ162)</f>
        <v>0</v>
      </c>
      <c r="AX162" s="149">
        <f>SUM(AX165:AX169)</f>
        <v>0</v>
      </c>
      <c r="AY162" s="150">
        <f>SUM(AY165:AY169)</f>
        <v>0</v>
      </c>
      <c r="AZ162" s="151">
        <f>SUM(AZ165:AZ169)</f>
        <v>0</v>
      </c>
      <c r="BA162" s="148">
        <f>SUM(BB162,BD162)</f>
        <v>449.351</v>
      </c>
      <c r="BB162" s="149">
        <f>SUM(BB164:BB169)</f>
        <v>425.38900000000001</v>
      </c>
      <c r="BC162" s="150">
        <f>SUM(BC164:BC169)</f>
        <v>276.23</v>
      </c>
      <c r="BD162" s="151">
        <f>SUM(BD165:BD169)</f>
        <v>23.962000000000003</v>
      </c>
      <c r="BE162" s="148">
        <f>SUM(BF162,BH162)</f>
        <v>47.234000000000009</v>
      </c>
      <c r="BF162" s="149">
        <f>SUM(BF165:BF169)</f>
        <v>28.272000000000002</v>
      </c>
      <c r="BG162" s="150">
        <f>SUM(BG165:BG169)</f>
        <v>0</v>
      </c>
      <c r="BH162" s="151">
        <f>SUM(BH165:BH169)</f>
        <v>18.962000000000003</v>
      </c>
      <c r="BI162" s="148">
        <f>SUM(BJ162,BL162)</f>
        <v>31.121000000000002</v>
      </c>
      <c r="BJ162" s="149">
        <f>SUM(BJ164:BJ169)</f>
        <v>31.121000000000002</v>
      </c>
      <c r="BK162" s="150">
        <f>SUM(BK164:BK169)</f>
        <v>15.58</v>
      </c>
      <c r="BL162" s="151">
        <f>SUM(BL165:BL169)</f>
        <v>0</v>
      </c>
      <c r="BM162" s="148">
        <f>SUM(BN162,BP162)</f>
        <v>0</v>
      </c>
      <c r="BN162" s="149">
        <f>SUM(BN165:BN169)</f>
        <v>0</v>
      </c>
      <c r="BO162" s="150">
        <f>SUM(BO165:BO169)</f>
        <v>0</v>
      </c>
      <c r="BP162" s="151">
        <f>SUM(BP165:BP169)</f>
        <v>0</v>
      </c>
      <c r="BQ162" s="148">
        <f>SUM(BR162,BT162)</f>
        <v>480.47199999999998</v>
      </c>
      <c r="BR162" s="149">
        <f>SUM(BR164:BR169)</f>
        <v>456.51</v>
      </c>
      <c r="BS162" s="150">
        <f>SUM(BS164:BS169)</f>
        <v>291.81</v>
      </c>
      <c r="BT162" s="151">
        <f>SUM(BT165:BT169)</f>
        <v>23.962000000000003</v>
      </c>
      <c r="BU162" s="148">
        <f>SUM(BV162,BX162)</f>
        <v>47.234000000000009</v>
      </c>
      <c r="BV162" s="149">
        <f>SUM(BV165:BV169)</f>
        <v>28.272000000000002</v>
      </c>
      <c r="BW162" s="150">
        <f>SUM(BW165:BW169)</f>
        <v>0</v>
      </c>
      <c r="BX162" s="151">
        <f>SUM(BX165:BX169)</f>
        <v>18.962000000000003</v>
      </c>
      <c r="BY162" s="175">
        <f>SUM(BZ162,CB162)</f>
        <v>0</v>
      </c>
      <c r="BZ162" s="176">
        <f>SUM(BZ164:BZ169)</f>
        <v>0</v>
      </c>
      <c r="CA162" s="177">
        <f>SUM(CA164:CA169)</f>
        <v>0</v>
      </c>
      <c r="CB162" s="178">
        <f>SUM(CB165:CB169)</f>
        <v>0</v>
      </c>
      <c r="CC162" s="175">
        <f>SUM(CD162,CF162)</f>
        <v>0</v>
      </c>
      <c r="CD162" s="176">
        <f>SUM(CD165:CD169)</f>
        <v>0</v>
      </c>
      <c r="CE162" s="177">
        <f>SUM(CE165:CE169)</f>
        <v>0</v>
      </c>
      <c r="CF162" s="178">
        <f>SUM(CF165:CF169)</f>
        <v>0</v>
      </c>
      <c r="CG162" s="148">
        <f>SUM(CH162,CJ162)</f>
        <v>480.47199999999998</v>
      </c>
      <c r="CH162" s="149">
        <f>SUM(CH164:CH169)</f>
        <v>456.51</v>
      </c>
      <c r="CI162" s="150">
        <f>SUM(CI164:CI169)</f>
        <v>291.81</v>
      </c>
      <c r="CJ162" s="151">
        <f>SUM(CJ165:CJ169)</f>
        <v>23.962000000000003</v>
      </c>
      <c r="CK162" s="148">
        <f>SUM(CL162,CN162)</f>
        <v>47.234000000000009</v>
      </c>
      <c r="CL162" s="149">
        <f>SUM(CL165:CL169)</f>
        <v>28.272000000000002</v>
      </c>
      <c r="CM162" s="150">
        <f>SUM(CM165:CM169)</f>
        <v>0</v>
      </c>
      <c r="CN162" s="151">
        <f>SUM(CN165:CN169)</f>
        <v>18.962000000000003</v>
      </c>
      <c r="CO162" s="175">
        <f>SUM(CP162,CR162)</f>
        <v>0</v>
      </c>
      <c r="CP162" s="176">
        <f>SUM(CP164:CP169)</f>
        <v>0</v>
      </c>
      <c r="CQ162" s="177">
        <f>SUM(CQ164:CQ169)</f>
        <v>0</v>
      </c>
      <c r="CR162" s="178">
        <f>SUM(CR165:CR169)</f>
        <v>0</v>
      </c>
      <c r="CS162" s="175">
        <f>SUM(CT162,CV162)</f>
        <v>0</v>
      </c>
      <c r="CT162" s="176">
        <f>SUM(CT165:CT169)</f>
        <v>0</v>
      </c>
      <c r="CU162" s="177">
        <f>SUM(CU165:CU169)</f>
        <v>0</v>
      </c>
      <c r="CV162" s="178">
        <f>SUM(CV165:CV169)</f>
        <v>0</v>
      </c>
      <c r="CW162" s="148">
        <f>SUM(CX162,CZ162)</f>
        <v>480.47199999999998</v>
      </c>
      <c r="CX162" s="149">
        <f>SUM(CX164:CX169)</f>
        <v>456.51</v>
      </c>
      <c r="CY162" s="150">
        <f>SUM(CY164:CY169)</f>
        <v>291.81</v>
      </c>
      <c r="CZ162" s="151">
        <f>SUM(CZ165:CZ169)</f>
        <v>23.962000000000003</v>
      </c>
      <c r="DA162" s="148">
        <f>SUM(DB162,DD162)</f>
        <v>47.234000000000009</v>
      </c>
      <c r="DB162" s="149">
        <f>SUM(DB165:DB169)</f>
        <v>28.272000000000002</v>
      </c>
      <c r="DC162" s="150">
        <f>SUM(DC165:DC169)</f>
        <v>0</v>
      </c>
      <c r="DD162" s="151">
        <f>SUM(DD165:DD169)</f>
        <v>18.962000000000003</v>
      </c>
      <c r="DE162" s="175">
        <f>SUM(DF162,DH162)</f>
        <v>36.51</v>
      </c>
      <c r="DF162" s="176">
        <f>SUM(DF164:DF169)</f>
        <v>36.51</v>
      </c>
      <c r="DG162" s="177">
        <f>SUM(DG164:DG169)</f>
        <v>29.740000000000002</v>
      </c>
      <c r="DH162" s="178">
        <f>SUM(DH165:DH169)</f>
        <v>0</v>
      </c>
      <c r="DI162" s="175">
        <f>SUM(DJ162,DL162)</f>
        <v>0</v>
      </c>
      <c r="DJ162" s="176">
        <f>SUM(DJ165:DJ169)</f>
        <v>0</v>
      </c>
      <c r="DK162" s="177">
        <f>SUM(DK165:DK169)</f>
        <v>0</v>
      </c>
      <c r="DL162" s="178">
        <f>SUM(DL165:DL169)</f>
        <v>0</v>
      </c>
      <c r="DM162" s="148">
        <f>SUM(DN162,DP162)</f>
        <v>516.98199999999997</v>
      </c>
      <c r="DN162" s="149">
        <f>SUM(DN164:DN169)</f>
        <v>493.02</v>
      </c>
      <c r="DO162" s="150">
        <f>SUM(DO164:DO169)</f>
        <v>321.55</v>
      </c>
      <c r="DP162" s="151">
        <f>SUM(DP165:DP169)</f>
        <v>23.962000000000003</v>
      </c>
      <c r="DQ162" s="148">
        <f>SUM(DR162,DT162)</f>
        <v>47.234000000000009</v>
      </c>
      <c r="DR162" s="149">
        <f>SUM(DR165:DR169)</f>
        <v>28.272000000000002</v>
      </c>
      <c r="DS162" s="150">
        <f>SUM(DS165:DS169)</f>
        <v>0</v>
      </c>
      <c r="DT162" s="151">
        <f>SUM(DT165:DT169)</f>
        <v>18.962000000000003</v>
      </c>
      <c r="DU162" s="175">
        <f>SUM(DV162,DX162)</f>
        <v>0</v>
      </c>
      <c r="DV162" s="176">
        <f>SUM(DV164:DV169)</f>
        <v>0</v>
      </c>
      <c r="DW162" s="177">
        <f>SUM(DW164:DW169)</f>
        <v>0</v>
      </c>
      <c r="DX162" s="178">
        <f>SUM(DX165:DX169)</f>
        <v>0</v>
      </c>
      <c r="DY162" s="175">
        <f>SUM(DZ162,EB162)</f>
        <v>0</v>
      </c>
      <c r="DZ162" s="176">
        <f>SUM(DZ165:DZ169)</f>
        <v>0</v>
      </c>
      <c r="EA162" s="177">
        <f>SUM(EA165:EA169)</f>
        <v>0</v>
      </c>
      <c r="EB162" s="178">
        <f>SUM(EB165:EB169)</f>
        <v>0</v>
      </c>
      <c r="EC162" s="148">
        <f>SUM(ED162,EF162)</f>
        <v>516.98199999999997</v>
      </c>
      <c r="ED162" s="149">
        <f>SUM(ED164:ED169)</f>
        <v>493.02</v>
      </c>
      <c r="EE162" s="150">
        <f>SUM(EE164:EE169)</f>
        <v>321.55</v>
      </c>
      <c r="EF162" s="151">
        <f>SUM(EF165:EF169)</f>
        <v>23.962000000000003</v>
      </c>
      <c r="EG162" s="148">
        <f>SUM(EH162,EJ162)</f>
        <v>47.234000000000009</v>
      </c>
      <c r="EH162" s="149">
        <f>SUM(EH165:EH169)</f>
        <v>28.272000000000002</v>
      </c>
      <c r="EI162" s="150">
        <f>SUM(EI165:EI169)</f>
        <v>0</v>
      </c>
      <c r="EJ162" s="151">
        <f>SUM(EJ165:EJ169)</f>
        <v>18.962000000000003</v>
      </c>
      <c r="EK162" s="155">
        <f t="shared" si="1402"/>
        <v>101.88799999999992</v>
      </c>
      <c r="EL162" s="155">
        <f t="shared" si="1403"/>
        <v>25.202999999999975</v>
      </c>
      <c r="EM162" s="148">
        <f>SUM(EN162,EP162)</f>
        <v>542.18499999999995</v>
      </c>
      <c r="EN162" s="149">
        <f>SUM(EN164:EN169)</f>
        <v>538.68499999999995</v>
      </c>
      <c r="EO162" s="150">
        <f>SUM(EO164:EO169)</f>
        <v>406.59199999999998</v>
      </c>
      <c r="EP162" s="151">
        <f>SUM(EP165:EP169)</f>
        <v>3.5</v>
      </c>
      <c r="EQ162" s="148">
        <f>SUM(ER162,ET162)</f>
        <v>0.33500000000000002</v>
      </c>
      <c r="ER162" s="149">
        <f>SUM(ER165:ER169)</f>
        <v>0.33500000000000002</v>
      </c>
      <c r="ES162" s="150">
        <f>SUM(ES165:ES169)</f>
        <v>0</v>
      </c>
      <c r="ET162" s="151">
        <f>SUM(ET165:ET169)</f>
        <v>0</v>
      </c>
    </row>
    <row r="163" spans="1:150" ht="17.399999999999999" customHeight="1" x14ac:dyDescent="0.3">
      <c r="A163" s="50"/>
      <c r="B163" s="6" t="s">
        <v>2</v>
      </c>
      <c r="C163" s="51"/>
      <c r="D163" s="94"/>
      <c r="E163" s="105"/>
      <c r="F163" s="106"/>
      <c r="G163" s="107"/>
      <c r="H163" s="108"/>
      <c r="I163" s="105"/>
      <c r="J163" s="106"/>
      <c r="K163" s="107"/>
      <c r="L163" s="108"/>
      <c r="M163" s="105"/>
      <c r="N163" s="106"/>
      <c r="O163" s="107"/>
      <c r="P163" s="108"/>
      <c r="Q163" s="105"/>
      <c r="R163" s="106"/>
      <c r="S163" s="107"/>
      <c r="T163" s="108"/>
      <c r="U163" s="105"/>
      <c r="V163" s="106"/>
      <c r="W163" s="107"/>
      <c r="X163" s="108"/>
      <c r="Y163" s="105"/>
      <c r="Z163" s="106"/>
      <c r="AA163" s="107"/>
      <c r="AB163" s="108"/>
      <c r="AC163" s="105"/>
      <c r="AD163" s="106"/>
      <c r="AE163" s="107"/>
      <c r="AF163" s="108"/>
      <c r="AG163" s="105"/>
      <c r="AH163" s="106"/>
      <c r="AI163" s="107"/>
      <c r="AJ163" s="108"/>
      <c r="AK163" s="105"/>
      <c r="AL163" s="106"/>
      <c r="AM163" s="107"/>
      <c r="AN163" s="108"/>
      <c r="AO163" s="105"/>
      <c r="AP163" s="106"/>
      <c r="AQ163" s="107"/>
      <c r="AR163" s="108"/>
      <c r="AS163" s="105"/>
      <c r="AT163" s="106"/>
      <c r="AU163" s="107"/>
      <c r="AV163" s="108"/>
      <c r="AW163" s="105"/>
      <c r="AX163" s="106"/>
      <c r="AY163" s="107"/>
      <c r="AZ163" s="108"/>
      <c r="BA163" s="105"/>
      <c r="BB163" s="106"/>
      <c r="BC163" s="107"/>
      <c r="BD163" s="108"/>
      <c r="BE163" s="105"/>
      <c r="BF163" s="106"/>
      <c r="BG163" s="107"/>
      <c r="BH163" s="108"/>
      <c r="BI163" s="105"/>
      <c r="BJ163" s="106"/>
      <c r="BK163" s="107"/>
      <c r="BL163" s="108"/>
      <c r="BM163" s="105"/>
      <c r="BN163" s="106"/>
      <c r="BO163" s="107"/>
      <c r="BP163" s="108"/>
      <c r="BQ163" s="105"/>
      <c r="BR163" s="106"/>
      <c r="BS163" s="107"/>
      <c r="BT163" s="108"/>
      <c r="BU163" s="105"/>
      <c r="BV163" s="106"/>
      <c r="BW163" s="107"/>
      <c r="BX163" s="108"/>
      <c r="BY163" s="164"/>
      <c r="BZ163" s="147"/>
      <c r="CA163" s="161"/>
      <c r="CB163" s="162"/>
      <c r="CC163" s="164"/>
      <c r="CD163" s="147"/>
      <c r="CE163" s="161"/>
      <c r="CF163" s="162"/>
      <c r="CG163" s="105"/>
      <c r="CH163" s="106"/>
      <c r="CI163" s="107"/>
      <c r="CJ163" s="108"/>
      <c r="CK163" s="105"/>
      <c r="CL163" s="106"/>
      <c r="CM163" s="107"/>
      <c r="CN163" s="108"/>
      <c r="CO163" s="164"/>
      <c r="CP163" s="147"/>
      <c r="CQ163" s="161"/>
      <c r="CR163" s="162"/>
      <c r="CS163" s="164"/>
      <c r="CT163" s="147"/>
      <c r="CU163" s="161"/>
      <c r="CV163" s="162"/>
      <c r="CW163" s="105"/>
      <c r="CX163" s="106"/>
      <c r="CY163" s="107"/>
      <c r="CZ163" s="108"/>
      <c r="DA163" s="105"/>
      <c r="DB163" s="106"/>
      <c r="DC163" s="107"/>
      <c r="DD163" s="108"/>
      <c r="DE163" s="164"/>
      <c r="DF163" s="147"/>
      <c r="DG163" s="161"/>
      <c r="DH163" s="162"/>
      <c r="DI163" s="164"/>
      <c r="DJ163" s="147"/>
      <c r="DK163" s="161"/>
      <c r="DL163" s="162"/>
      <c r="DM163" s="105"/>
      <c r="DN163" s="106"/>
      <c r="DO163" s="107"/>
      <c r="DP163" s="108"/>
      <c r="DQ163" s="105"/>
      <c r="DR163" s="106"/>
      <c r="DS163" s="107"/>
      <c r="DT163" s="108"/>
      <c r="DU163" s="164"/>
      <c r="DV163" s="147"/>
      <c r="DW163" s="161"/>
      <c r="DX163" s="162"/>
      <c r="DY163" s="164"/>
      <c r="DZ163" s="147"/>
      <c r="EA163" s="161"/>
      <c r="EB163" s="162"/>
      <c r="EC163" s="105"/>
      <c r="ED163" s="106"/>
      <c r="EE163" s="107"/>
      <c r="EF163" s="108"/>
      <c r="EG163" s="105"/>
      <c r="EH163" s="106"/>
      <c r="EI163" s="107"/>
      <c r="EJ163" s="108"/>
      <c r="EK163" s="153">
        <f t="shared" si="1402"/>
        <v>0</v>
      </c>
      <c r="EL163" s="153">
        <f t="shared" si="1403"/>
        <v>0</v>
      </c>
      <c r="EM163" s="105"/>
      <c r="EN163" s="106"/>
      <c r="EO163" s="107"/>
      <c r="EP163" s="108"/>
      <c r="EQ163" s="105"/>
      <c r="ER163" s="106"/>
      <c r="ES163" s="107"/>
      <c r="ET163" s="108"/>
    </row>
    <row r="164" spans="1:150" ht="17.399999999999999" customHeight="1" x14ac:dyDescent="0.25">
      <c r="A164" s="138" t="s">
        <v>26</v>
      </c>
      <c r="B164" s="143" t="s">
        <v>42</v>
      </c>
      <c r="C164" s="48" t="s">
        <v>90</v>
      </c>
      <c r="D164" s="93" t="s">
        <v>37</v>
      </c>
      <c r="E164" s="105"/>
      <c r="F164" s="106"/>
      <c r="G164" s="107"/>
      <c r="H164" s="108"/>
      <c r="I164" s="105"/>
      <c r="J164" s="106"/>
      <c r="K164" s="107"/>
      <c r="L164" s="108"/>
      <c r="M164" s="105"/>
      <c r="N164" s="106"/>
      <c r="O164" s="107"/>
      <c r="P164" s="108"/>
      <c r="Q164" s="105"/>
      <c r="R164" s="106"/>
      <c r="S164" s="107"/>
      <c r="T164" s="108"/>
      <c r="U164" s="105"/>
      <c r="V164" s="106"/>
      <c r="W164" s="107"/>
      <c r="X164" s="108"/>
      <c r="Y164" s="105"/>
      <c r="Z164" s="106"/>
      <c r="AA164" s="107"/>
      <c r="AB164" s="108"/>
      <c r="AC164" s="105">
        <f>SUM(AD164,AF164)</f>
        <v>1.5920000000000001</v>
      </c>
      <c r="AD164" s="106">
        <v>1.5920000000000001</v>
      </c>
      <c r="AE164" s="107"/>
      <c r="AF164" s="108"/>
      <c r="AG164" s="105"/>
      <c r="AH164" s="106"/>
      <c r="AI164" s="107"/>
      <c r="AJ164" s="108"/>
      <c r="AK164" s="105">
        <f t="shared" ref="AK164" si="1684">SUM(AL164,AN164)</f>
        <v>1.5920000000000001</v>
      </c>
      <c r="AL164" s="106">
        <f t="shared" ref="AL164" si="1685">V164+AD164</f>
        <v>1.5920000000000001</v>
      </c>
      <c r="AM164" s="107"/>
      <c r="AN164" s="108"/>
      <c r="AO164" s="105"/>
      <c r="AP164" s="106"/>
      <c r="AQ164" s="107"/>
      <c r="AR164" s="108"/>
      <c r="AS164" s="105">
        <f>SUM(AT164,AV164)</f>
        <v>0</v>
      </c>
      <c r="AT164" s="106"/>
      <c r="AU164" s="107"/>
      <c r="AV164" s="108"/>
      <c r="AW164" s="105"/>
      <c r="AX164" s="106"/>
      <c r="AY164" s="107"/>
      <c r="AZ164" s="108"/>
      <c r="BA164" s="105">
        <f t="shared" ref="BA164:BA169" si="1686">SUM(BB164,BD164)</f>
        <v>1.5920000000000001</v>
      </c>
      <c r="BB164" s="106">
        <f t="shared" ref="BB164:BB169" si="1687">AL164+AT164</f>
        <v>1.5920000000000001</v>
      </c>
      <c r="BC164" s="107"/>
      <c r="BD164" s="108"/>
      <c r="BE164" s="105"/>
      <c r="BF164" s="106"/>
      <c r="BG164" s="107"/>
      <c r="BH164" s="108"/>
      <c r="BI164" s="105">
        <f>SUM(BJ164,BL164)</f>
        <v>0</v>
      </c>
      <c r="BJ164" s="106"/>
      <c r="BK164" s="107"/>
      <c r="BL164" s="108"/>
      <c r="BM164" s="105"/>
      <c r="BN164" s="106"/>
      <c r="BO164" s="107"/>
      <c r="BP164" s="108"/>
      <c r="BQ164" s="105">
        <f t="shared" ref="BQ164:BQ169" si="1688">SUM(BR164,BT164)</f>
        <v>1.5920000000000001</v>
      </c>
      <c r="BR164" s="106">
        <f t="shared" ref="BR164:BR169" si="1689">BB164+BJ164</f>
        <v>1.5920000000000001</v>
      </c>
      <c r="BS164" s="107"/>
      <c r="BT164" s="108"/>
      <c r="BU164" s="105"/>
      <c r="BV164" s="106"/>
      <c r="BW164" s="107"/>
      <c r="BX164" s="108"/>
      <c r="BY164" s="164">
        <f>SUM(BZ164,CB164)</f>
        <v>0</v>
      </c>
      <c r="BZ164" s="147"/>
      <c r="CA164" s="161"/>
      <c r="CB164" s="162"/>
      <c r="CC164" s="164"/>
      <c r="CD164" s="147"/>
      <c r="CE164" s="161"/>
      <c r="CF164" s="162"/>
      <c r="CG164" s="105">
        <f t="shared" ref="CG164:CG169" si="1690">SUM(CH164,CJ164)</f>
        <v>1.5920000000000001</v>
      </c>
      <c r="CH164" s="106">
        <f t="shared" ref="CH164:CH169" si="1691">BR164+BZ164</f>
        <v>1.5920000000000001</v>
      </c>
      <c r="CI164" s="107"/>
      <c r="CJ164" s="108"/>
      <c r="CK164" s="105"/>
      <c r="CL164" s="106"/>
      <c r="CM164" s="107"/>
      <c r="CN164" s="108"/>
      <c r="CO164" s="164">
        <f>SUM(CP164,CR164)</f>
        <v>0</v>
      </c>
      <c r="CP164" s="147"/>
      <c r="CQ164" s="161"/>
      <c r="CR164" s="162"/>
      <c r="CS164" s="164"/>
      <c r="CT164" s="147"/>
      <c r="CU164" s="161"/>
      <c r="CV164" s="162"/>
      <c r="CW164" s="105">
        <f t="shared" ref="CW164:CW169" si="1692">SUM(CX164,CZ164)</f>
        <v>1.5920000000000001</v>
      </c>
      <c r="CX164" s="106">
        <f t="shared" ref="CX164:CX169" si="1693">CH164+CP164</f>
        <v>1.5920000000000001</v>
      </c>
      <c r="CY164" s="107"/>
      <c r="CZ164" s="108"/>
      <c r="DA164" s="105"/>
      <c r="DB164" s="106"/>
      <c r="DC164" s="107"/>
      <c r="DD164" s="108"/>
      <c r="DE164" s="164">
        <f>SUM(DF164,DH164)</f>
        <v>0</v>
      </c>
      <c r="DF164" s="147"/>
      <c r="DG164" s="161"/>
      <c r="DH164" s="162"/>
      <c r="DI164" s="164"/>
      <c r="DJ164" s="147"/>
      <c r="DK164" s="161"/>
      <c r="DL164" s="162"/>
      <c r="DM164" s="105">
        <f t="shared" ref="DM164:DM169" si="1694">SUM(DN164,DP164)</f>
        <v>1.5920000000000001</v>
      </c>
      <c r="DN164" s="106">
        <f t="shared" ref="DN164:DN169" si="1695">CX164+DF164</f>
        <v>1.5920000000000001</v>
      </c>
      <c r="DO164" s="107"/>
      <c r="DP164" s="108"/>
      <c r="DQ164" s="105"/>
      <c r="DR164" s="106"/>
      <c r="DS164" s="107"/>
      <c r="DT164" s="108"/>
      <c r="DU164" s="164">
        <f>SUM(DV164,DX164)</f>
        <v>0</v>
      </c>
      <c r="DV164" s="147"/>
      <c r="DW164" s="161"/>
      <c r="DX164" s="162"/>
      <c r="DY164" s="164"/>
      <c r="DZ164" s="147"/>
      <c r="EA164" s="161"/>
      <c r="EB164" s="162"/>
      <c r="EC164" s="105">
        <f t="shared" ref="EC164:EC169" si="1696">SUM(ED164,EF164)</f>
        <v>1.5920000000000001</v>
      </c>
      <c r="ED164" s="106">
        <f t="shared" ref="ED164:ED169" si="1697">DN164+DV164</f>
        <v>1.5920000000000001</v>
      </c>
      <c r="EE164" s="107"/>
      <c r="EF164" s="108"/>
      <c r="EG164" s="105"/>
      <c r="EH164" s="106"/>
      <c r="EI164" s="107"/>
      <c r="EJ164" s="108"/>
      <c r="EK164" s="153">
        <f t="shared" si="1402"/>
        <v>0</v>
      </c>
      <c r="EL164" s="154">
        <f t="shared" si="1403"/>
        <v>-1.5920000000000001</v>
      </c>
      <c r="EM164" s="105"/>
      <c r="EN164" s="106"/>
      <c r="EO164" s="107"/>
      <c r="EP164" s="108"/>
      <c r="EQ164" s="105"/>
      <c r="ER164" s="106"/>
      <c r="ES164" s="107"/>
      <c r="ET164" s="108"/>
    </row>
    <row r="165" spans="1:150" s="4" customFormat="1" ht="21.65" customHeight="1" x14ac:dyDescent="0.25">
      <c r="A165" s="704" t="s">
        <v>24</v>
      </c>
      <c r="B165" s="702" t="s">
        <v>45</v>
      </c>
      <c r="C165" s="48" t="s">
        <v>91</v>
      </c>
      <c r="D165" s="93" t="s">
        <v>37</v>
      </c>
      <c r="E165" s="105">
        <f>SUM(F165,H165)</f>
        <v>234.68299999999999</v>
      </c>
      <c r="F165" s="106">
        <f>J165+203.78+0.23+0.63+1+23.6</f>
        <v>229.68299999999999</v>
      </c>
      <c r="G165" s="107">
        <f>154.08+17.1-1.33</f>
        <v>169.85</v>
      </c>
      <c r="H165" s="108">
        <v>5</v>
      </c>
      <c r="I165" s="105">
        <f>SUM(J165,L165)</f>
        <v>0.443</v>
      </c>
      <c r="J165" s="106">
        <v>0.443</v>
      </c>
      <c r="K165" s="107"/>
      <c r="L165" s="108"/>
      <c r="M165" s="105">
        <f>SUM(N165,P165)</f>
        <v>0</v>
      </c>
      <c r="N165" s="106"/>
      <c r="O165" s="107"/>
      <c r="P165" s="108"/>
      <c r="Q165" s="105">
        <f>SUM(R165,T165)</f>
        <v>0</v>
      </c>
      <c r="R165" s="106"/>
      <c r="S165" s="107"/>
      <c r="T165" s="108"/>
      <c r="U165" s="105">
        <f t="shared" ref="U165" si="1698">SUM(V165,X165)</f>
        <v>234.68299999999999</v>
      </c>
      <c r="V165" s="106">
        <f t="shared" ref="V165" si="1699">F165+N165</f>
        <v>229.68299999999999</v>
      </c>
      <c r="W165" s="107">
        <f t="shared" ref="W165" si="1700">G165+O165</f>
        <v>169.85</v>
      </c>
      <c r="X165" s="108">
        <f t="shared" ref="X165" si="1701">H165+P165</f>
        <v>5</v>
      </c>
      <c r="Y165" s="105">
        <f t="shared" ref="Y165" si="1702">SUM(Z165,AB165)</f>
        <v>0.443</v>
      </c>
      <c r="Z165" s="106">
        <f t="shared" ref="Z165" si="1703">J165+R165</f>
        <v>0.443</v>
      </c>
      <c r="AA165" s="107">
        <f t="shared" ref="AA165" si="1704">K165+S165</f>
        <v>0</v>
      </c>
      <c r="AB165" s="108">
        <f t="shared" ref="AB165" si="1705">L165+T165</f>
        <v>0</v>
      </c>
      <c r="AC165" s="105">
        <f>SUM(AD165,AF165)</f>
        <v>0</v>
      </c>
      <c r="AD165" s="106"/>
      <c r="AE165" s="107"/>
      <c r="AF165" s="108"/>
      <c r="AG165" s="105">
        <f>SUM(AH165,AJ165)</f>
        <v>0</v>
      </c>
      <c r="AH165" s="106"/>
      <c r="AI165" s="107"/>
      <c r="AJ165" s="108"/>
      <c r="AK165" s="105">
        <f t="shared" ref="AK165:AK169" si="1706">SUM(AL165,AN165)</f>
        <v>234.68299999999999</v>
      </c>
      <c r="AL165" s="106">
        <f t="shared" ref="AL165:AL169" si="1707">V165+AD165</f>
        <v>229.68299999999999</v>
      </c>
      <c r="AM165" s="107">
        <f t="shared" ref="AM165:AM169" si="1708">W165+AE165</f>
        <v>169.85</v>
      </c>
      <c r="AN165" s="108">
        <f t="shared" ref="AN165:AN168" si="1709">X165+AF165</f>
        <v>5</v>
      </c>
      <c r="AO165" s="105">
        <f t="shared" ref="AO165:AO169" si="1710">SUM(AP165,AR165)</f>
        <v>0.443</v>
      </c>
      <c r="AP165" s="106">
        <f t="shared" ref="AP165:AP169" si="1711">Z165+AH165</f>
        <v>0.443</v>
      </c>
      <c r="AQ165" s="107">
        <f t="shared" ref="AQ165:AQ169" si="1712">AA165+AI165</f>
        <v>0</v>
      </c>
      <c r="AR165" s="108">
        <f t="shared" ref="AR165:AR168" si="1713">AB165+AJ165</f>
        <v>0</v>
      </c>
      <c r="AS165" s="105">
        <f>SUM(AT165,AV165)</f>
        <v>0</v>
      </c>
      <c r="AT165" s="106"/>
      <c r="AU165" s="107"/>
      <c r="AV165" s="108"/>
      <c r="AW165" s="105">
        <f>SUM(AX165,AZ165)</f>
        <v>0</v>
      </c>
      <c r="AX165" s="106"/>
      <c r="AY165" s="107"/>
      <c r="AZ165" s="108"/>
      <c r="BA165" s="105">
        <f t="shared" si="1686"/>
        <v>234.68299999999999</v>
      </c>
      <c r="BB165" s="106">
        <f t="shared" si="1687"/>
        <v>229.68299999999999</v>
      </c>
      <c r="BC165" s="107">
        <f t="shared" ref="BC165:BC169" si="1714">AM165+AU165</f>
        <v>169.85</v>
      </c>
      <c r="BD165" s="108">
        <f t="shared" ref="BD165:BD168" si="1715">AN165+AV165</f>
        <v>5</v>
      </c>
      <c r="BE165" s="105">
        <f t="shared" ref="BE165:BE169" si="1716">SUM(BF165,BH165)</f>
        <v>0.443</v>
      </c>
      <c r="BF165" s="106">
        <f t="shared" ref="BF165:BF169" si="1717">AP165+AX165</f>
        <v>0.443</v>
      </c>
      <c r="BG165" s="107">
        <f t="shared" ref="BG165:BG169" si="1718">AQ165+AY165</f>
        <v>0</v>
      </c>
      <c r="BH165" s="108">
        <f t="shared" ref="BH165:BH168" si="1719">AR165+AZ165</f>
        <v>0</v>
      </c>
      <c r="BI165" s="105">
        <f>SUM(BJ165,BL165)</f>
        <v>30.713000000000001</v>
      </c>
      <c r="BJ165" s="106">
        <f>30.561+BN165+0.152</f>
        <v>30.713000000000001</v>
      </c>
      <c r="BK165" s="107">
        <f>15.43+BO165+0.15</f>
        <v>15.58</v>
      </c>
      <c r="BL165" s="108"/>
      <c r="BM165" s="105">
        <f>SUM(BN165,BP165)</f>
        <v>0</v>
      </c>
      <c r="BN165" s="106"/>
      <c r="BO165" s="107"/>
      <c r="BP165" s="108"/>
      <c r="BQ165" s="105">
        <f t="shared" si="1688"/>
        <v>265.39600000000002</v>
      </c>
      <c r="BR165" s="106">
        <f t="shared" si="1689"/>
        <v>260.39600000000002</v>
      </c>
      <c r="BS165" s="107">
        <f t="shared" ref="BS165:BS169" si="1720">BC165+BK165</f>
        <v>185.43</v>
      </c>
      <c r="BT165" s="108">
        <f t="shared" ref="BT165:BT168" si="1721">BD165+BL165</f>
        <v>5</v>
      </c>
      <c r="BU165" s="105">
        <f t="shared" ref="BU165:BU169" si="1722">SUM(BV165,BX165)</f>
        <v>0.443</v>
      </c>
      <c r="BV165" s="106">
        <f t="shared" ref="BV165:BV169" si="1723">BF165+BN165</f>
        <v>0.443</v>
      </c>
      <c r="BW165" s="107">
        <f t="shared" ref="BW165:BW169" si="1724">BG165+BO165</f>
        <v>0</v>
      </c>
      <c r="BX165" s="108">
        <f t="shared" ref="BX165:BX168" si="1725">BH165+BP165</f>
        <v>0</v>
      </c>
      <c r="BY165" s="164">
        <f>SUM(BZ165,CB165)</f>
        <v>0</v>
      </c>
      <c r="BZ165" s="147"/>
      <c r="CA165" s="161"/>
      <c r="CB165" s="162"/>
      <c r="CC165" s="164">
        <f>SUM(CD165,CF165)</f>
        <v>0</v>
      </c>
      <c r="CD165" s="147"/>
      <c r="CE165" s="161"/>
      <c r="CF165" s="162"/>
      <c r="CG165" s="105">
        <f t="shared" si="1690"/>
        <v>265.39600000000002</v>
      </c>
      <c r="CH165" s="106">
        <f t="shared" si="1691"/>
        <v>260.39600000000002</v>
      </c>
      <c r="CI165" s="107">
        <f t="shared" ref="CI165:CI169" si="1726">BS165+CA165</f>
        <v>185.43</v>
      </c>
      <c r="CJ165" s="108">
        <f t="shared" ref="CJ165:CJ168" si="1727">BT165+CB165</f>
        <v>5</v>
      </c>
      <c r="CK165" s="105">
        <f t="shared" ref="CK165:CK169" si="1728">SUM(CL165,CN165)</f>
        <v>0.443</v>
      </c>
      <c r="CL165" s="106">
        <f t="shared" ref="CL165:CL169" si="1729">BV165+CD165</f>
        <v>0.443</v>
      </c>
      <c r="CM165" s="107">
        <f t="shared" ref="CM165:CM169" si="1730">BW165+CE165</f>
        <v>0</v>
      </c>
      <c r="CN165" s="108">
        <f t="shared" ref="CN165:CN168" si="1731">BX165+CF165</f>
        <v>0</v>
      </c>
      <c r="CO165" s="164">
        <f>SUM(CP165,CR165)</f>
        <v>0</v>
      </c>
      <c r="CP165" s="147"/>
      <c r="CQ165" s="161"/>
      <c r="CR165" s="162"/>
      <c r="CS165" s="164">
        <f>SUM(CT165,CV165)</f>
        <v>0</v>
      </c>
      <c r="CT165" s="147"/>
      <c r="CU165" s="161"/>
      <c r="CV165" s="162"/>
      <c r="CW165" s="105">
        <f t="shared" si="1692"/>
        <v>265.39600000000002</v>
      </c>
      <c r="CX165" s="106">
        <f t="shared" si="1693"/>
        <v>260.39600000000002</v>
      </c>
      <c r="CY165" s="107">
        <f t="shared" ref="CY165:CY169" si="1732">CI165+CQ165</f>
        <v>185.43</v>
      </c>
      <c r="CZ165" s="108">
        <f t="shared" ref="CZ165:CZ168" si="1733">CJ165+CR165</f>
        <v>5</v>
      </c>
      <c r="DA165" s="105">
        <f t="shared" ref="DA165:DA169" si="1734">SUM(DB165,DD165)</f>
        <v>0.443</v>
      </c>
      <c r="DB165" s="106">
        <f t="shared" ref="DB165:DB169" si="1735">CL165+CT165</f>
        <v>0.443</v>
      </c>
      <c r="DC165" s="107">
        <f t="shared" ref="DC165:DC169" si="1736">CM165+CU165</f>
        <v>0</v>
      </c>
      <c r="DD165" s="108">
        <f t="shared" ref="DD165:DD168" si="1737">CN165+CV165</f>
        <v>0</v>
      </c>
      <c r="DE165" s="164">
        <f>SUM(DF165,DH165)</f>
        <v>14.51</v>
      </c>
      <c r="DF165" s="147">
        <v>14.51</v>
      </c>
      <c r="DG165" s="161">
        <v>11.82</v>
      </c>
      <c r="DH165" s="162"/>
      <c r="DI165" s="164">
        <f>SUM(DJ165,DL165)</f>
        <v>0</v>
      </c>
      <c r="DJ165" s="147"/>
      <c r="DK165" s="161"/>
      <c r="DL165" s="162"/>
      <c r="DM165" s="105">
        <f t="shared" si="1694"/>
        <v>279.90600000000001</v>
      </c>
      <c r="DN165" s="106">
        <f t="shared" si="1695"/>
        <v>274.90600000000001</v>
      </c>
      <c r="DO165" s="107">
        <f t="shared" ref="DO165:DO169" si="1738">CY165+DG165</f>
        <v>197.25</v>
      </c>
      <c r="DP165" s="108">
        <f t="shared" ref="DP165:DP168" si="1739">CZ165+DH165</f>
        <v>5</v>
      </c>
      <c r="DQ165" s="105">
        <f t="shared" ref="DQ165:DQ169" si="1740">SUM(DR165,DT165)</f>
        <v>0.443</v>
      </c>
      <c r="DR165" s="106">
        <f t="shared" ref="DR165:DR169" si="1741">DB165+DJ165</f>
        <v>0.443</v>
      </c>
      <c r="DS165" s="107">
        <f t="shared" ref="DS165:DS169" si="1742">DC165+DK165</f>
        <v>0</v>
      </c>
      <c r="DT165" s="108">
        <f t="shared" ref="DT165:DT168" si="1743">DD165+DL165</f>
        <v>0</v>
      </c>
      <c r="DU165" s="164">
        <f>SUM(DV165,DX165)</f>
        <v>0</v>
      </c>
      <c r="DV165" s="147"/>
      <c r="DW165" s="161"/>
      <c r="DX165" s="162"/>
      <c r="DY165" s="164">
        <f>SUM(DZ165,EB165)</f>
        <v>0</v>
      </c>
      <c r="DZ165" s="147"/>
      <c r="EA165" s="161"/>
      <c r="EB165" s="162"/>
      <c r="EC165" s="105">
        <f t="shared" si="1696"/>
        <v>279.90600000000001</v>
      </c>
      <c r="ED165" s="106">
        <f t="shared" si="1697"/>
        <v>274.90600000000001</v>
      </c>
      <c r="EE165" s="107">
        <f t="shared" ref="EE165:EE169" si="1744">DO165+DW165</f>
        <v>197.25</v>
      </c>
      <c r="EF165" s="108">
        <f t="shared" ref="EF165:EF168" si="1745">DP165+DX165</f>
        <v>5</v>
      </c>
      <c r="EG165" s="105">
        <f t="shared" ref="EG165:EG169" si="1746">SUM(EH165,EJ165)</f>
        <v>0.443</v>
      </c>
      <c r="EH165" s="106">
        <f t="shared" ref="EH165:EH169" si="1747">DR165+DZ165</f>
        <v>0.443</v>
      </c>
      <c r="EI165" s="107">
        <f t="shared" ref="EI165:EI169" si="1748">DS165+EA165</f>
        <v>0</v>
      </c>
      <c r="EJ165" s="108">
        <f t="shared" ref="EJ165:EJ168" si="1749">DT165+EB165</f>
        <v>0</v>
      </c>
      <c r="EK165" s="163">
        <f t="shared" si="1402"/>
        <v>113.959</v>
      </c>
      <c r="EL165" s="163">
        <f t="shared" si="1403"/>
        <v>68.73599999999999</v>
      </c>
      <c r="EM165" s="105">
        <f>SUM(EN165,EP165)</f>
        <v>348.642</v>
      </c>
      <c r="EN165" s="106">
        <f>ER165+229.9+29.73+33.9+51.54</f>
        <v>345.142</v>
      </c>
      <c r="EO165" s="107">
        <f>163.15+22+33.25-2.7+51.1</f>
        <v>266.8</v>
      </c>
      <c r="EP165" s="108">
        <v>3.5</v>
      </c>
      <c r="EQ165" s="105">
        <f>SUM(ER165,ET165)</f>
        <v>7.1999999999999995E-2</v>
      </c>
      <c r="ER165" s="106">
        <v>7.1999999999999995E-2</v>
      </c>
      <c r="ES165" s="107"/>
      <c r="ET165" s="108"/>
    </row>
    <row r="166" spans="1:150" s="4" customFormat="1" ht="21.65" customHeight="1" x14ac:dyDescent="0.25">
      <c r="A166" s="716"/>
      <c r="B166" s="719"/>
      <c r="C166" s="48" t="s">
        <v>92</v>
      </c>
      <c r="D166" s="139" t="s">
        <v>52</v>
      </c>
      <c r="E166" s="105">
        <f>SUM(F166,H166)</f>
        <v>159.55199999999999</v>
      </c>
      <c r="F166" s="106">
        <f>106.49+1.54+48.97+J166</f>
        <v>159.55199999999999</v>
      </c>
      <c r="G166" s="107">
        <f>106.49-0.6</f>
        <v>105.89</v>
      </c>
      <c r="H166" s="108"/>
      <c r="I166" s="105">
        <f>SUM(J166,L166)</f>
        <v>2.552</v>
      </c>
      <c r="J166" s="106">
        <v>2.552</v>
      </c>
      <c r="K166" s="107"/>
      <c r="L166" s="108"/>
      <c r="M166" s="105">
        <f>SUM(N166,P166)</f>
        <v>0</v>
      </c>
      <c r="N166" s="106"/>
      <c r="O166" s="107"/>
      <c r="P166" s="108"/>
      <c r="Q166" s="105">
        <f>SUM(R166,T166)</f>
        <v>0</v>
      </c>
      <c r="R166" s="106"/>
      <c r="S166" s="107"/>
      <c r="T166" s="108"/>
      <c r="U166" s="105">
        <f t="shared" ref="U166:U169" si="1750">SUM(V166,X166)</f>
        <v>159.55199999999999</v>
      </c>
      <c r="V166" s="106">
        <f t="shared" ref="V166:V169" si="1751">F166+N166</f>
        <v>159.55199999999999</v>
      </c>
      <c r="W166" s="107">
        <f t="shared" ref="W166:W169" si="1752">G166+O166</f>
        <v>105.89</v>
      </c>
      <c r="X166" s="108">
        <f t="shared" ref="X166:X168" si="1753">H166+P166</f>
        <v>0</v>
      </c>
      <c r="Y166" s="105">
        <f t="shared" ref="Y166:Y169" si="1754">SUM(Z166,AB166)</f>
        <v>2.552</v>
      </c>
      <c r="Z166" s="106">
        <f t="shared" ref="Z166:Z169" si="1755">J166+R166</f>
        <v>2.552</v>
      </c>
      <c r="AA166" s="107">
        <f t="shared" ref="AA166:AA169" si="1756">K166+S166</f>
        <v>0</v>
      </c>
      <c r="AB166" s="108">
        <f t="shared" ref="AB166:AB168" si="1757">L166+T166</f>
        <v>0</v>
      </c>
      <c r="AC166" s="105">
        <f>SUM(AD166,AF166)</f>
        <v>0</v>
      </c>
      <c r="AD166" s="106"/>
      <c r="AE166" s="107"/>
      <c r="AF166" s="108"/>
      <c r="AG166" s="105">
        <f>SUM(AH166,AJ166)</f>
        <v>0</v>
      </c>
      <c r="AH166" s="106"/>
      <c r="AI166" s="107"/>
      <c r="AJ166" s="108"/>
      <c r="AK166" s="105">
        <f t="shared" si="1706"/>
        <v>159.55199999999999</v>
      </c>
      <c r="AL166" s="106">
        <f t="shared" si="1707"/>
        <v>159.55199999999999</v>
      </c>
      <c r="AM166" s="107">
        <f t="shared" si="1708"/>
        <v>105.89</v>
      </c>
      <c r="AN166" s="108">
        <f t="shared" si="1709"/>
        <v>0</v>
      </c>
      <c r="AO166" s="105">
        <f t="shared" si="1710"/>
        <v>2.552</v>
      </c>
      <c r="AP166" s="106">
        <f t="shared" si="1711"/>
        <v>2.552</v>
      </c>
      <c r="AQ166" s="107">
        <f t="shared" si="1712"/>
        <v>0</v>
      </c>
      <c r="AR166" s="108">
        <f t="shared" si="1713"/>
        <v>0</v>
      </c>
      <c r="AS166" s="105">
        <f>SUM(AT166,AV166)</f>
        <v>0</v>
      </c>
      <c r="AT166" s="106"/>
      <c r="AU166" s="107"/>
      <c r="AV166" s="108"/>
      <c r="AW166" s="105">
        <f>SUM(AX166,AZ166)</f>
        <v>0</v>
      </c>
      <c r="AX166" s="106"/>
      <c r="AY166" s="107"/>
      <c r="AZ166" s="108"/>
      <c r="BA166" s="105">
        <f t="shared" si="1686"/>
        <v>159.55199999999999</v>
      </c>
      <c r="BB166" s="106">
        <f t="shared" si="1687"/>
        <v>159.55199999999999</v>
      </c>
      <c r="BC166" s="107">
        <f t="shared" si="1714"/>
        <v>105.89</v>
      </c>
      <c r="BD166" s="108">
        <f t="shared" si="1715"/>
        <v>0</v>
      </c>
      <c r="BE166" s="105">
        <f t="shared" si="1716"/>
        <v>2.552</v>
      </c>
      <c r="BF166" s="106">
        <f t="shared" si="1717"/>
        <v>2.552</v>
      </c>
      <c r="BG166" s="107">
        <f t="shared" si="1718"/>
        <v>0</v>
      </c>
      <c r="BH166" s="108">
        <f t="shared" si="1719"/>
        <v>0</v>
      </c>
      <c r="BI166" s="105">
        <f>SUM(BJ166,BL166)</f>
        <v>0.40799999999999997</v>
      </c>
      <c r="BJ166" s="106">
        <v>0.40799999999999997</v>
      </c>
      <c r="BK166" s="107"/>
      <c r="BL166" s="108"/>
      <c r="BM166" s="105">
        <f>SUM(BN166,BP166)</f>
        <v>0</v>
      </c>
      <c r="BN166" s="106"/>
      <c r="BO166" s="107"/>
      <c r="BP166" s="108"/>
      <c r="BQ166" s="105">
        <f t="shared" si="1688"/>
        <v>159.95999999999998</v>
      </c>
      <c r="BR166" s="106">
        <f t="shared" si="1689"/>
        <v>159.95999999999998</v>
      </c>
      <c r="BS166" s="107">
        <f t="shared" si="1720"/>
        <v>105.89</v>
      </c>
      <c r="BT166" s="108">
        <f t="shared" si="1721"/>
        <v>0</v>
      </c>
      <c r="BU166" s="105">
        <f t="shared" si="1722"/>
        <v>2.552</v>
      </c>
      <c r="BV166" s="106">
        <f t="shared" si="1723"/>
        <v>2.552</v>
      </c>
      <c r="BW166" s="107">
        <f t="shared" si="1724"/>
        <v>0</v>
      </c>
      <c r="BX166" s="108">
        <f t="shared" si="1725"/>
        <v>0</v>
      </c>
      <c r="BY166" s="164">
        <f>SUM(BZ166,CB166)</f>
        <v>0</v>
      </c>
      <c r="BZ166" s="147"/>
      <c r="CA166" s="161"/>
      <c r="CB166" s="162"/>
      <c r="CC166" s="164">
        <f>SUM(CD166,CF166)</f>
        <v>0</v>
      </c>
      <c r="CD166" s="147"/>
      <c r="CE166" s="161"/>
      <c r="CF166" s="162"/>
      <c r="CG166" s="105">
        <f t="shared" si="1690"/>
        <v>159.95999999999998</v>
      </c>
      <c r="CH166" s="106">
        <f t="shared" si="1691"/>
        <v>159.95999999999998</v>
      </c>
      <c r="CI166" s="107">
        <f t="shared" si="1726"/>
        <v>105.89</v>
      </c>
      <c r="CJ166" s="108">
        <f t="shared" si="1727"/>
        <v>0</v>
      </c>
      <c r="CK166" s="105">
        <f t="shared" si="1728"/>
        <v>2.552</v>
      </c>
      <c r="CL166" s="106">
        <f t="shared" si="1729"/>
        <v>2.552</v>
      </c>
      <c r="CM166" s="107">
        <f t="shared" si="1730"/>
        <v>0</v>
      </c>
      <c r="CN166" s="108">
        <f t="shared" si="1731"/>
        <v>0</v>
      </c>
      <c r="CO166" s="164">
        <f>SUM(CP166,CR166)</f>
        <v>0</v>
      </c>
      <c r="CP166" s="147"/>
      <c r="CQ166" s="161"/>
      <c r="CR166" s="162"/>
      <c r="CS166" s="164">
        <f>SUM(CT166,CV166)</f>
        <v>0</v>
      </c>
      <c r="CT166" s="147"/>
      <c r="CU166" s="161"/>
      <c r="CV166" s="162"/>
      <c r="CW166" s="105">
        <f t="shared" si="1692"/>
        <v>159.95999999999998</v>
      </c>
      <c r="CX166" s="106">
        <f t="shared" si="1693"/>
        <v>159.95999999999998</v>
      </c>
      <c r="CY166" s="107">
        <f t="shared" si="1732"/>
        <v>105.89</v>
      </c>
      <c r="CZ166" s="108">
        <f t="shared" si="1733"/>
        <v>0</v>
      </c>
      <c r="DA166" s="105">
        <f t="shared" si="1734"/>
        <v>2.552</v>
      </c>
      <c r="DB166" s="106">
        <f t="shared" si="1735"/>
        <v>2.552</v>
      </c>
      <c r="DC166" s="107">
        <f t="shared" si="1736"/>
        <v>0</v>
      </c>
      <c r="DD166" s="108">
        <f t="shared" si="1737"/>
        <v>0</v>
      </c>
      <c r="DE166" s="164">
        <f>SUM(DF166,DH166)</f>
        <v>22</v>
      </c>
      <c r="DF166" s="147">
        <v>22</v>
      </c>
      <c r="DG166" s="161">
        <v>17.920000000000002</v>
      </c>
      <c r="DH166" s="162"/>
      <c r="DI166" s="164">
        <f>SUM(DJ166,DL166)</f>
        <v>0</v>
      </c>
      <c r="DJ166" s="147"/>
      <c r="DK166" s="161"/>
      <c r="DL166" s="162"/>
      <c r="DM166" s="105">
        <f t="shared" si="1694"/>
        <v>181.95999999999998</v>
      </c>
      <c r="DN166" s="106">
        <f t="shared" si="1695"/>
        <v>181.95999999999998</v>
      </c>
      <c r="DO166" s="107">
        <f t="shared" si="1738"/>
        <v>123.81</v>
      </c>
      <c r="DP166" s="108">
        <f t="shared" si="1739"/>
        <v>0</v>
      </c>
      <c r="DQ166" s="105">
        <f t="shared" si="1740"/>
        <v>2.552</v>
      </c>
      <c r="DR166" s="106">
        <f t="shared" si="1741"/>
        <v>2.552</v>
      </c>
      <c r="DS166" s="107">
        <f t="shared" si="1742"/>
        <v>0</v>
      </c>
      <c r="DT166" s="108">
        <f t="shared" si="1743"/>
        <v>0</v>
      </c>
      <c r="DU166" s="164">
        <f>SUM(DV166,DX166)</f>
        <v>0</v>
      </c>
      <c r="DV166" s="147"/>
      <c r="DW166" s="161"/>
      <c r="DX166" s="162"/>
      <c r="DY166" s="164">
        <f>SUM(DZ166,EB166)</f>
        <v>0</v>
      </c>
      <c r="DZ166" s="147"/>
      <c r="EA166" s="161"/>
      <c r="EB166" s="162"/>
      <c r="EC166" s="105">
        <f t="shared" si="1696"/>
        <v>181.95999999999998</v>
      </c>
      <c r="ED166" s="106">
        <f t="shared" si="1697"/>
        <v>181.95999999999998</v>
      </c>
      <c r="EE166" s="107">
        <f t="shared" si="1744"/>
        <v>123.81</v>
      </c>
      <c r="EF166" s="108">
        <f t="shared" si="1745"/>
        <v>0</v>
      </c>
      <c r="EG166" s="105">
        <f t="shared" si="1746"/>
        <v>2.552</v>
      </c>
      <c r="EH166" s="106">
        <f t="shared" si="1747"/>
        <v>2.552</v>
      </c>
      <c r="EI166" s="107">
        <f t="shared" si="1748"/>
        <v>0</v>
      </c>
      <c r="EJ166" s="108">
        <f t="shared" si="1749"/>
        <v>0</v>
      </c>
      <c r="EK166" s="163">
        <f t="shared" si="1402"/>
        <v>30.711000000000013</v>
      </c>
      <c r="EL166" s="163">
        <f t="shared" si="1403"/>
        <v>8.3030000000000257</v>
      </c>
      <c r="EM166" s="105">
        <f>SUM(EN166,EP166)</f>
        <v>190.26300000000001</v>
      </c>
      <c r="EN166" s="106">
        <f>ER166+190</f>
        <v>190.26300000000001</v>
      </c>
      <c r="EO166" s="107">
        <f>139-1+1.2</f>
        <v>139.19999999999999</v>
      </c>
      <c r="EP166" s="108"/>
      <c r="EQ166" s="105">
        <f>SUM(ER166,ET166)</f>
        <v>0.26300000000000001</v>
      </c>
      <c r="ER166" s="106">
        <v>0.26300000000000001</v>
      </c>
      <c r="ES166" s="107"/>
      <c r="ET166" s="108"/>
    </row>
    <row r="167" spans="1:150" s="4" customFormat="1" ht="21.65" customHeight="1" x14ac:dyDescent="0.3">
      <c r="A167" s="58" t="s">
        <v>34</v>
      </c>
      <c r="B167" s="55" t="s">
        <v>46</v>
      </c>
      <c r="C167" s="48" t="s">
        <v>173</v>
      </c>
      <c r="D167" s="93" t="s">
        <v>37</v>
      </c>
      <c r="E167" s="105">
        <f>SUM(F167,H167)</f>
        <v>0.5</v>
      </c>
      <c r="F167" s="106">
        <v>0.5</v>
      </c>
      <c r="G167" s="107">
        <v>0.49</v>
      </c>
      <c r="H167" s="108"/>
      <c r="I167" s="105">
        <f>SUM(J167,L167)</f>
        <v>0</v>
      </c>
      <c r="J167" s="106"/>
      <c r="K167" s="107"/>
      <c r="L167" s="108"/>
      <c r="M167" s="105">
        <f>SUM(N167,P167)</f>
        <v>0</v>
      </c>
      <c r="N167" s="106"/>
      <c r="O167" s="107"/>
      <c r="P167" s="108"/>
      <c r="Q167" s="105">
        <f>SUM(R167,T167)</f>
        <v>0</v>
      </c>
      <c r="R167" s="106"/>
      <c r="S167" s="107"/>
      <c r="T167" s="108"/>
      <c r="U167" s="105">
        <f t="shared" si="1750"/>
        <v>0.5</v>
      </c>
      <c r="V167" s="106">
        <f t="shared" si="1751"/>
        <v>0.5</v>
      </c>
      <c r="W167" s="107">
        <f t="shared" si="1752"/>
        <v>0.49</v>
      </c>
      <c r="X167" s="108">
        <f t="shared" si="1753"/>
        <v>0</v>
      </c>
      <c r="Y167" s="105">
        <f t="shared" si="1754"/>
        <v>0</v>
      </c>
      <c r="Z167" s="106">
        <f t="shared" si="1755"/>
        <v>0</v>
      </c>
      <c r="AA167" s="107">
        <f t="shared" si="1756"/>
        <v>0</v>
      </c>
      <c r="AB167" s="108">
        <f t="shared" si="1757"/>
        <v>0</v>
      </c>
      <c r="AC167" s="105">
        <f>SUM(AD167,AF167)</f>
        <v>0</v>
      </c>
      <c r="AD167" s="106"/>
      <c r="AE167" s="107"/>
      <c r="AF167" s="108"/>
      <c r="AG167" s="105">
        <f>SUM(AH167,AJ167)</f>
        <v>0</v>
      </c>
      <c r="AH167" s="106"/>
      <c r="AI167" s="107"/>
      <c r="AJ167" s="108"/>
      <c r="AK167" s="105">
        <f t="shared" si="1706"/>
        <v>0.5</v>
      </c>
      <c r="AL167" s="106">
        <f t="shared" si="1707"/>
        <v>0.5</v>
      </c>
      <c r="AM167" s="107">
        <f t="shared" si="1708"/>
        <v>0.49</v>
      </c>
      <c r="AN167" s="108">
        <f t="shared" si="1709"/>
        <v>0</v>
      </c>
      <c r="AO167" s="105">
        <f t="shared" si="1710"/>
        <v>0</v>
      </c>
      <c r="AP167" s="106">
        <f t="shared" si="1711"/>
        <v>0</v>
      </c>
      <c r="AQ167" s="107">
        <f t="shared" si="1712"/>
        <v>0</v>
      </c>
      <c r="AR167" s="108">
        <f t="shared" si="1713"/>
        <v>0</v>
      </c>
      <c r="AS167" s="105">
        <f>SUM(AT167,AV167)</f>
        <v>0</v>
      </c>
      <c r="AT167" s="106"/>
      <c r="AU167" s="107"/>
      <c r="AV167" s="108"/>
      <c r="AW167" s="105">
        <f>SUM(AX167,AZ167)</f>
        <v>0</v>
      </c>
      <c r="AX167" s="106"/>
      <c r="AY167" s="107"/>
      <c r="AZ167" s="108"/>
      <c r="BA167" s="105">
        <f t="shared" si="1686"/>
        <v>0.5</v>
      </c>
      <c r="BB167" s="106">
        <f t="shared" si="1687"/>
        <v>0.5</v>
      </c>
      <c r="BC167" s="107">
        <f t="shared" si="1714"/>
        <v>0.49</v>
      </c>
      <c r="BD167" s="108">
        <f t="shared" si="1715"/>
        <v>0</v>
      </c>
      <c r="BE167" s="105">
        <f t="shared" si="1716"/>
        <v>0</v>
      </c>
      <c r="BF167" s="106">
        <f t="shared" si="1717"/>
        <v>0</v>
      </c>
      <c r="BG167" s="107">
        <f t="shared" si="1718"/>
        <v>0</v>
      </c>
      <c r="BH167" s="108">
        <f t="shared" si="1719"/>
        <v>0</v>
      </c>
      <c r="BI167" s="105">
        <f>SUM(BJ167,BL167)</f>
        <v>0</v>
      </c>
      <c r="BJ167" s="106"/>
      <c r="BK167" s="107"/>
      <c r="BL167" s="108"/>
      <c r="BM167" s="105">
        <f>SUM(BN167,BP167)</f>
        <v>0</v>
      </c>
      <c r="BN167" s="106"/>
      <c r="BO167" s="107"/>
      <c r="BP167" s="108"/>
      <c r="BQ167" s="105">
        <f t="shared" si="1688"/>
        <v>0.5</v>
      </c>
      <c r="BR167" s="106">
        <f t="shared" si="1689"/>
        <v>0.5</v>
      </c>
      <c r="BS167" s="107">
        <f t="shared" si="1720"/>
        <v>0.49</v>
      </c>
      <c r="BT167" s="108">
        <f t="shared" si="1721"/>
        <v>0</v>
      </c>
      <c r="BU167" s="105">
        <f t="shared" si="1722"/>
        <v>0</v>
      </c>
      <c r="BV167" s="106">
        <f t="shared" si="1723"/>
        <v>0</v>
      </c>
      <c r="BW167" s="107">
        <f t="shared" si="1724"/>
        <v>0</v>
      </c>
      <c r="BX167" s="108">
        <f t="shared" si="1725"/>
        <v>0</v>
      </c>
      <c r="BY167" s="164">
        <f>SUM(BZ167,CB167)</f>
        <v>0</v>
      </c>
      <c r="BZ167" s="147"/>
      <c r="CA167" s="161"/>
      <c r="CB167" s="162"/>
      <c r="CC167" s="164">
        <f>SUM(CD167,CF167)</f>
        <v>0</v>
      </c>
      <c r="CD167" s="147"/>
      <c r="CE167" s="161"/>
      <c r="CF167" s="162"/>
      <c r="CG167" s="105">
        <f t="shared" si="1690"/>
        <v>0.5</v>
      </c>
      <c r="CH167" s="106">
        <f t="shared" si="1691"/>
        <v>0.5</v>
      </c>
      <c r="CI167" s="107">
        <f t="shared" si="1726"/>
        <v>0.49</v>
      </c>
      <c r="CJ167" s="108">
        <f t="shared" si="1727"/>
        <v>0</v>
      </c>
      <c r="CK167" s="105">
        <f t="shared" si="1728"/>
        <v>0</v>
      </c>
      <c r="CL167" s="106">
        <f t="shared" si="1729"/>
        <v>0</v>
      </c>
      <c r="CM167" s="107">
        <f t="shared" si="1730"/>
        <v>0</v>
      </c>
      <c r="CN167" s="108">
        <f t="shared" si="1731"/>
        <v>0</v>
      </c>
      <c r="CO167" s="164">
        <f>SUM(CP167,CR167)</f>
        <v>0</v>
      </c>
      <c r="CP167" s="147"/>
      <c r="CQ167" s="161"/>
      <c r="CR167" s="162"/>
      <c r="CS167" s="164">
        <f>SUM(CT167,CV167)</f>
        <v>0</v>
      </c>
      <c r="CT167" s="147"/>
      <c r="CU167" s="161"/>
      <c r="CV167" s="162"/>
      <c r="CW167" s="105">
        <f t="shared" si="1692"/>
        <v>0.5</v>
      </c>
      <c r="CX167" s="106">
        <f t="shared" si="1693"/>
        <v>0.5</v>
      </c>
      <c r="CY167" s="107">
        <f t="shared" si="1732"/>
        <v>0.49</v>
      </c>
      <c r="CZ167" s="108">
        <f t="shared" si="1733"/>
        <v>0</v>
      </c>
      <c r="DA167" s="105">
        <f t="shared" si="1734"/>
        <v>0</v>
      </c>
      <c r="DB167" s="106">
        <f t="shared" si="1735"/>
        <v>0</v>
      </c>
      <c r="DC167" s="107">
        <f t="shared" si="1736"/>
        <v>0</v>
      </c>
      <c r="DD167" s="108">
        <f t="shared" si="1737"/>
        <v>0</v>
      </c>
      <c r="DE167" s="164">
        <f>SUM(DF167,DH167)</f>
        <v>0</v>
      </c>
      <c r="DF167" s="147"/>
      <c r="DG167" s="161"/>
      <c r="DH167" s="162"/>
      <c r="DI167" s="164">
        <f>SUM(DJ167,DL167)</f>
        <v>0</v>
      </c>
      <c r="DJ167" s="147"/>
      <c r="DK167" s="161"/>
      <c r="DL167" s="162"/>
      <c r="DM167" s="105">
        <f t="shared" si="1694"/>
        <v>0.5</v>
      </c>
      <c r="DN167" s="106">
        <f t="shared" si="1695"/>
        <v>0.5</v>
      </c>
      <c r="DO167" s="107">
        <f t="shared" si="1738"/>
        <v>0.49</v>
      </c>
      <c r="DP167" s="108">
        <f t="shared" si="1739"/>
        <v>0</v>
      </c>
      <c r="DQ167" s="105">
        <f t="shared" si="1740"/>
        <v>0</v>
      </c>
      <c r="DR167" s="106">
        <f t="shared" si="1741"/>
        <v>0</v>
      </c>
      <c r="DS167" s="107">
        <f t="shared" si="1742"/>
        <v>0</v>
      </c>
      <c r="DT167" s="108">
        <f t="shared" si="1743"/>
        <v>0</v>
      </c>
      <c r="DU167" s="164">
        <f>SUM(DV167,DX167)</f>
        <v>0</v>
      </c>
      <c r="DV167" s="147"/>
      <c r="DW167" s="161"/>
      <c r="DX167" s="162"/>
      <c r="DY167" s="164">
        <f>SUM(DZ167,EB167)</f>
        <v>0</v>
      </c>
      <c r="DZ167" s="147"/>
      <c r="EA167" s="161"/>
      <c r="EB167" s="162"/>
      <c r="EC167" s="105">
        <f t="shared" si="1696"/>
        <v>0.5</v>
      </c>
      <c r="ED167" s="106">
        <f t="shared" si="1697"/>
        <v>0.5</v>
      </c>
      <c r="EE167" s="107">
        <f t="shared" si="1744"/>
        <v>0.49</v>
      </c>
      <c r="EF167" s="108">
        <f t="shared" si="1745"/>
        <v>0</v>
      </c>
      <c r="EG167" s="105">
        <f t="shared" si="1746"/>
        <v>0</v>
      </c>
      <c r="EH167" s="106">
        <f t="shared" si="1747"/>
        <v>0</v>
      </c>
      <c r="EI167" s="107">
        <f t="shared" si="1748"/>
        <v>0</v>
      </c>
      <c r="EJ167" s="108">
        <f t="shared" si="1749"/>
        <v>0</v>
      </c>
      <c r="EK167" s="163">
        <f t="shared" si="1402"/>
        <v>9.9999999999999978E-2</v>
      </c>
      <c r="EL167" s="163">
        <f t="shared" si="1403"/>
        <v>9.9999999999999978E-2</v>
      </c>
      <c r="EM167" s="105">
        <f>SUM(EN167,EP167)</f>
        <v>0.6</v>
      </c>
      <c r="EN167" s="106">
        <v>0.6</v>
      </c>
      <c r="EO167" s="107">
        <v>0.59199999999999997</v>
      </c>
      <c r="EP167" s="108"/>
      <c r="EQ167" s="105">
        <f>SUM(ER167,ET167)</f>
        <v>0</v>
      </c>
      <c r="ER167" s="106"/>
      <c r="ES167" s="107"/>
      <c r="ET167" s="108"/>
    </row>
    <row r="168" spans="1:150" s="4" customFormat="1" ht="21.65" customHeight="1" x14ac:dyDescent="0.25">
      <c r="A168" s="139" t="s">
        <v>33</v>
      </c>
      <c r="B168" s="25" t="s">
        <v>47</v>
      </c>
      <c r="C168" s="48" t="s">
        <v>174</v>
      </c>
      <c r="D168" s="139" t="s">
        <v>37</v>
      </c>
      <c r="E168" s="105">
        <f>SUM(F168,H168)</f>
        <v>2.7069999999999999</v>
      </c>
      <c r="F168" s="106">
        <f>J168+2.35</f>
        <v>2.7069999999999999</v>
      </c>
      <c r="G168" s="107"/>
      <c r="H168" s="108"/>
      <c r="I168" s="105">
        <f>SUM(J168,L168)</f>
        <v>0.35699999999999998</v>
      </c>
      <c r="J168" s="106">
        <v>0.35699999999999998</v>
      </c>
      <c r="K168" s="107"/>
      <c r="L168" s="108"/>
      <c r="M168" s="105">
        <f>SUM(N168,P168)</f>
        <v>0</v>
      </c>
      <c r="N168" s="106"/>
      <c r="O168" s="107"/>
      <c r="P168" s="108"/>
      <c r="Q168" s="105">
        <f>SUM(R168,T168)</f>
        <v>0</v>
      </c>
      <c r="R168" s="106"/>
      <c r="S168" s="107"/>
      <c r="T168" s="108"/>
      <c r="U168" s="105">
        <f t="shared" si="1750"/>
        <v>2.7069999999999999</v>
      </c>
      <c r="V168" s="106">
        <f t="shared" si="1751"/>
        <v>2.7069999999999999</v>
      </c>
      <c r="W168" s="107">
        <f t="shared" si="1752"/>
        <v>0</v>
      </c>
      <c r="X168" s="108">
        <f t="shared" si="1753"/>
        <v>0</v>
      </c>
      <c r="Y168" s="105">
        <f t="shared" si="1754"/>
        <v>0.35699999999999998</v>
      </c>
      <c r="Z168" s="106">
        <f t="shared" si="1755"/>
        <v>0.35699999999999998</v>
      </c>
      <c r="AA168" s="107">
        <f t="shared" si="1756"/>
        <v>0</v>
      </c>
      <c r="AB168" s="108">
        <f t="shared" si="1757"/>
        <v>0</v>
      </c>
      <c r="AC168" s="105">
        <f>SUM(AD168,AF168)</f>
        <v>0</v>
      </c>
      <c r="AD168" s="106"/>
      <c r="AE168" s="107"/>
      <c r="AF168" s="108"/>
      <c r="AG168" s="105">
        <f>SUM(AH168,AJ168)</f>
        <v>0</v>
      </c>
      <c r="AH168" s="106"/>
      <c r="AI168" s="107"/>
      <c r="AJ168" s="108"/>
      <c r="AK168" s="105">
        <f t="shared" si="1706"/>
        <v>2.7069999999999999</v>
      </c>
      <c r="AL168" s="106">
        <f t="shared" si="1707"/>
        <v>2.7069999999999999</v>
      </c>
      <c r="AM168" s="107">
        <f t="shared" si="1708"/>
        <v>0</v>
      </c>
      <c r="AN168" s="108">
        <f t="shared" si="1709"/>
        <v>0</v>
      </c>
      <c r="AO168" s="105">
        <f t="shared" si="1710"/>
        <v>0.35699999999999998</v>
      </c>
      <c r="AP168" s="106">
        <f t="shared" si="1711"/>
        <v>0.35699999999999998</v>
      </c>
      <c r="AQ168" s="107">
        <f t="shared" si="1712"/>
        <v>0</v>
      </c>
      <c r="AR168" s="108">
        <f t="shared" si="1713"/>
        <v>0</v>
      </c>
      <c r="AS168" s="105">
        <f>SUM(AT168,AV168)</f>
        <v>0</v>
      </c>
      <c r="AT168" s="106"/>
      <c r="AU168" s="107"/>
      <c r="AV168" s="108"/>
      <c r="AW168" s="105">
        <f>SUM(AX168,AZ168)</f>
        <v>0</v>
      </c>
      <c r="AX168" s="106"/>
      <c r="AY168" s="107"/>
      <c r="AZ168" s="108"/>
      <c r="BA168" s="105">
        <f t="shared" si="1686"/>
        <v>2.7069999999999999</v>
      </c>
      <c r="BB168" s="106">
        <f t="shared" si="1687"/>
        <v>2.7069999999999999</v>
      </c>
      <c r="BC168" s="107">
        <f t="shared" si="1714"/>
        <v>0</v>
      </c>
      <c r="BD168" s="108">
        <f t="shared" si="1715"/>
        <v>0</v>
      </c>
      <c r="BE168" s="105">
        <f t="shared" si="1716"/>
        <v>0.35699999999999998</v>
      </c>
      <c r="BF168" s="106">
        <f t="shared" si="1717"/>
        <v>0.35699999999999998</v>
      </c>
      <c r="BG168" s="107">
        <f t="shared" si="1718"/>
        <v>0</v>
      </c>
      <c r="BH168" s="108">
        <f t="shared" si="1719"/>
        <v>0</v>
      </c>
      <c r="BI168" s="105">
        <f>SUM(BJ168,BL168)</f>
        <v>0</v>
      </c>
      <c r="BJ168" s="106"/>
      <c r="BK168" s="107"/>
      <c r="BL168" s="108"/>
      <c r="BM168" s="105">
        <f>SUM(BN168,BP168)</f>
        <v>0</v>
      </c>
      <c r="BN168" s="106"/>
      <c r="BO168" s="107"/>
      <c r="BP168" s="108"/>
      <c r="BQ168" s="105">
        <f t="shared" si="1688"/>
        <v>2.7069999999999999</v>
      </c>
      <c r="BR168" s="106">
        <f t="shared" si="1689"/>
        <v>2.7069999999999999</v>
      </c>
      <c r="BS168" s="107">
        <f t="shared" si="1720"/>
        <v>0</v>
      </c>
      <c r="BT168" s="108">
        <f t="shared" si="1721"/>
        <v>0</v>
      </c>
      <c r="BU168" s="105">
        <f t="shared" si="1722"/>
        <v>0.35699999999999998</v>
      </c>
      <c r="BV168" s="106">
        <f t="shared" si="1723"/>
        <v>0.35699999999999998</v>
      </c>
      <c r="BW168" s="107">
        <f t="shared" si="1724"/>
        <v>0</v>
      </c>
      <c r="BX168" s="108">
        <f t="shared" si="1725"/>
        <v>0</v>
      </c>
      <c r="BY168" s="164">
        <f>SUM(BZ168,CB168)</f>
        <v>0</v>
      </c>
      <c r="BZ168" s="147"/>
      <c r="CA168" s="161"/>
      <c r="CB168" s="162"/>
      <c r="CC168" s="164">
        <f>SUM(CD168,CF168)</f>
        <v>0</v>
      </c>
      <c r="CD168" s="147"/>
      <c r="CE168" s="161"/>
      <c r="CF168" s="162"/>
      <c r="CG168" s="105">
        <f t="shared" si="1690"/>
        <v>2.7069999999999999</v>
      </c>
      <c r="CH168" s="106">
        <f t="shared" si="1691"/>
        <v>2.7069999999999999</v>
      </c>
      <c r="CI168" s="107">
        <f t="shared" si="1726"/>
        <v>0</v>
      </c>
      <c r="CJ168" s="108">
        <f t="shared" si="1727"/>
        <v>0</v>
      </c>
      <c r="CK168" s="105">
        <f t="shared" si="1728"/>
        <v>0.35699999999999998</v>
      </c>
      <c r="CL168" s="106">
        <f t="shared" si="1729"/>
        <v>0.35699999999999998</v>
      </c>
      <c r="CM168" s="107">
        <f t="shared" si="1730"/>
        <v>0</v>
      </c>
      <c r="CN168" s="108">
        <f t="shared" si="1731"/>
        <v>0</v>
      </c>
      <c r="CO168" s="164">
        <f>SUM(CP168,CR168)</f>
        <v>0</v>
      </c>
      <c r="CP168" s="147"/>
      <c r="CQ168" s="161"/>
      <c r="CR168" s="162"/>
      <c r="CS168" s="164">
        <f>SUM(CT168,CV168)</f>
        <v>0</v>
      </c>
      <c r="CT168" s="147"/>
      <c r="CU168" s="161"/>
      <c r="CV168" s="162"/>
      <c r="CW168" s="105">
        <f t="shared" si="1692"/>
        <v>2.7069999999999999</v>
      </c>
      <c r="CX168" s="106">
        <f t="shared" si="1693"/>
        <v>2.7069999999999999</v>
      </c>
      <c r="CY168" s="107">
        <f t="shared" si="1732"/>
        <v>0</v>
      </c>
      <c r="CZ168" s="108">
        <f t="shared" si="1733"/>
        <v>0</v>
      </c>
      <c r="DA168" s="105">
        <f t="shared" si="1734"/>
        <v>0.35699999999999998</v>
      </c>
      <c r="DB168" s="106">
        <f t="shared" si="1735"/>
        <v>0.35699999999999998</v>
      </c>
      <c r="DC168" s="107">
        <f t="shared" si="1736"/>
        <v>0</v>
      </c>
      <c r="DD168" s="108">
        <f t="shared" si="1737"/>
        <v>0</v>
      </c>
      <c r="DE168" s="164">
        <f>SUM(DF168,DH168)</f>
        <v>0</v>
      </c>
      <c r="DF168" s="147"/>
      <c r="DG168" s="161"/>
      <c r="DH168" s="162"/>
      <c r="DI168" s="164">
        <f>SUM(DJ168,DL168)</f>
        <v>0</v>
      </c>
      <c r="DJ168" s="147"/>
      <c r="DK168" s="161"/>
      <c r="DL168" s="162"/>
      <c r="DM168" s="105">
        <f t="shared" si="1694"/>
        <v>2.7069999999999999</v>
      </c>
      <c r="DN168" s="106">
        <f t="shared" si="1695"/>
        <v>2.7069999999999999</v>
      </c>
      <c r="DO168" s="107">
        <f t="shared" si="1738"/>
        <v>0</v>
      </c>
      <c r="DP168" s="108">
        <f t="shared" si="1739"/>
        <v>0</v>
      </c>
      <c r="DQ168" s="105">
        <f t="shared" si="1740"/>
        <v>0.35699999999999998</v>
      </c>
      <c r="DR168" s="106">
        <f t="shared" si="1741"/>
        <v>0.35699999999999998</v>
      </c>
      <c r="DS168" s="107">
        <f t="shared" si="1742"/>
        <v>0</v>
      </c>
      <c r="DT168" s="108">
        <f t="shared" si="1743"/>
        <v>0</v>
      </c>
      <c r="DU168" s="164">
        <f>SUM(DV168,DX168)</f>
        <v>0</v>
      </c>
      <c r="DV168" s="147"/>
      <c r="DW168" s="161"/>
      <c r="DX168" s="162"/>
      <c r="DY168" s="164">
        <f>SUM(DZ168,EB168)</f>
        <v>0</v>
      </c>
      <c r="DZ168" s="147"/>
      <c r="EA168" s="161"/>
      <c r="EB168" s="162"/>
      <c r="EC168" s="105">
        <f t="shared" si="1696"/>
        <v>2.7069999999999999</v>
      </c>
      <c r="ED168" s="106">
        <f t="shared" si="1697"/>
        <v>2.7069999999999999</v>
      </c>
      <c r="EE168" s="107">
        <f t="shared" si="1744"/>
        <v>0</v>
      </c>
      <c r="EF168" s="108">
        <f t="shared" si="1745"/>
        <v>0</v>
      </c>
      <c r="EG168" s="105">
        <f t="shared" si="1746"/>
        <v>0.35699999999999998</v>
      </c>
      <c r="EH168" s="106">
        <f t="shared" si="1747"/>
        <v>0.35699999999999998</v>
      </c>
      <c r="EI168" s="107">
        <f t="shared" si="1748"/>
        <v>0</v>
      </c>
      <c r="EJ168" s="108">
        <f t="shared" si="1749"/>
        <v>0</v>
      </c>
      <c r="EK168" s="154">
        <f t="shared" si="1402"/>
        <v>-2.6999999999999691E-2</v>
      </c>
      <c r="EL168" s="154">
        <f t="shared" si="1403"/>
        <v>-2.6999999999999691E-2</v>
      </c>
      <c r="EM168" s="105">
        <f>SUM(EN168,EP168)</f>
        <v>2.68</v>
      </c>
      <c r="EN168" s="106">
        <v>2.68</v>
      </c>
      <c r="EO168" s="107"/>
      <c r="EP168" s="108"/>
      <c r="EQ168" s="105">
        <f>SUM(ER168,ET168)</f>
        <v>0</v>
      </c>
      <c r="ER168" s="106"/>
      <c r="ES168" s="107"/>
      <c r="ET168" s="108"/>
    </row>
    <row r="169" spans="1:150" s="4" customFormat="1" ht="21.65" customHeight="1" x14ac:dyDescent="0.3">
      <c r="A169" s="58" t="s">
        <v>7</v>
      </c>
      <c r="B169" s="55" t="s">
        <v>49</v>
      </c>
      <c r="C169" s="48" t="s">
        <v>191</v>
      </c>
      <c r="D169" s="95" t="s">
        <v>37</v>
      </c>
      <c r="E169" s="105">
        <f t="shared" ref="E169" si="1758">SUM(F169,H169)</f>
        <v>42.855000000000004</v>
      </c>
      <c r="F169" s="106">
        <f>J169</f>
        <v>24.92</v>
      </c>
      <c r="G169" s="107"/>
      <c r="H169" s="108">
        <f>L169</f>
        <v>17.935000000000002</v>
      </c>
      <c r="I169" s="105">
        <f t="shared" ref="I169" si="1759">SUM(J169,L169)</f>
        <v>42.855000000000004</v>
      </c>
      <c r="J169" s="106">
        <v>24.92</v>
      </c>
      <c r="K169" s="107"/>
      <c r="L169" s="108">
        <f>9.15+8.785</f>
        <v>17.935000000000002</v>
      </c>
      <c r="M169" s="105">
        <f t="shared" ref="M169" si="1760">SUM(N169,P169)</f>
        <v>1.0269999999999999</v>
      </c>
      <c r="N169" s="106"/>
      <c r="O169" s="107"/>
      <c r="P169" s="108">
        <v>1.0269999999999999</v>
      </c>
      <c r="Q169" s="105">
        <f t="shared" ref="Q169" si="1761">SUM(R169,T169)</f>
        <v>1.0269999999999999</v>
      </c>
      <c r="R169" s="106"/>
      <c r="S169" s="107"/>
      <c r="T169" s="108">
        <v>1.0269999999999999</v>
      </c>
      <c r="U169" s="105">
        <f t="shared" si="1750"/>
        <v>43.882000000000005</v>
      </c>
      <c r="V169" s="106">
        <f t="shared" si="1751"/>
        <v>24.92</v>
      </c>
      <c r="W169" s="107">
        <f t="shared" si="1752"/>
        <v>0</v>
      </c>
      <c r="X169" s="108">
        <f>H169+P169</f>
        <v>18.962000000000003</v>
      </c>
      <c r="Y169" s="105">
        <f t="shared" si="1754"/>
        <v>43.882000000000005</v>
      </c>
      <c r="Z169" s="106">
        <f t="shared" si="1755"/>
        <v>24.92</v>
      </c>
      <c r="AA169" s="107">
        <f t="shared" si="1756"/>
        <v>0</v>
      </c>
      <c r="AB169" s="108">
        <f>L169+T169</f>
        <v>18.962000000000003</v>
      </c>
      <c r="AC169" s="105">
        <f t="shared" ref="AC169" si="1762">SUM(AD169,AF169)</f>
        <v>6.4349999999999996</v>
      </c>
      <c r="AD169" s="106">
        <v>6.4349999999999996</v>
      </c>
      <c r="AE169" s="107"/>
      <c r="AF169" s="108"/>
      <c r="AG169" s="105">
        <f t="shared" ref="AG169" si="1763">SUM(AH169,AJ169)</f>
        <v>0</v>
      </c>
      <c r="AH169" s="106"/>
      <c r="AI169" s="107"/>
      <c r="AJ169" s="108"/>
      <c r="AK169" s="105">
        <f t="shared" si="1706"/>
        <v>50.317000000000007</v>
      </c>
      <c r="AL169" s="106">
        <f t="shared" si="1707"/>
        <v>31.355</v>
      </c>
      <c r="AM169" s="107">
        <f t="shared" si="1708"/>
        <v>0</v>
      </c>
      <c r="AN169" s="108">
        <f>X169+AF169</f>
        <v>18.962000000000003</v>
      </c>
      <c r="AO169" s="105">
        <f t="shared" si="1710"/>
        <v>43.882000000000005</v>
      </c>
      <c r="AP169" s="106">
        <f t="shared" si="1711"/>
        <v>24.92</v>
      </c>
      <c r="AQ169" s="107">
        <f t="shared" si="1712"/>
        <v>0</v>
      </c>
      <c r="AR169" s="108">
        <f>AB169+AJ169</f>
        <v>18.962000000000003</v>
      </c>
      <c r="AS169" s="105">
        <f t="shared" ref="AS169" si="1764">SUM(AT169,AV169)</f>
        <v>0</v>
      </c>
      <c r="AT169" s="106"/>
      <c r="AU169" s="107"/>
      <c r="AV169" s="108"/>
      <c r="AW169" s="105">
        <f t="shared" ref="AW169" si="1765">SUM(AX169,AZ169)</f>
        <v>0</v>
      </c>
      <c r="AX169" s="106"/>
      <c r="AY169" s="107"/>
      <c r="AZ169" s="108"/>
      <c r="BA169" s="105">
        <f t="shared" si="1686"/>
        <v>50.317000000000007</v>
      </c>
      <c r="BB169" s="106">
        <f t="shared" si="1687"/>
        <v>31.355</v>
      </c>
      <c r="BC169" s="107">
        <f t="shared" si="1714"/>
        <v>0</v>
      </c>
      <c r="BD169" s="108">
        <f>AN169+AV169</f>
        <v>18.962000000000003</v>
      </c>
      <c r="BE169" s="105">
        <f t="shared" si="1716"/>
        <v>43.882000000000005</v>
      </c>
      <c r="BF169" s="106">
        <f t="shared" si="1717"/>
        <v>24.92</v>
      </c>
      <c r="BG169" s="107">
        <f t="shared" si="1718"/>
        <v>0</v>
      </c>
      <c r="BH169" s="108">
        <f>AR169+AZ169</f>
        <v>18.962000000000003</v>
      </c>
      <c r="BI169" s="105">
        <f t="shared" ref="BI169" si="1766">SUM(BJ169,BL169)</f>
        <v>0</v>
      </c>
      <c r="BJ169" s="106"/>
      <c r="BK169" s="107"/>
      <c r="BL169" s="108"/>
      <c r="BM169" s="105">
        <f t="shared" ref="BM169" si="1767">SUM(BN169,BP169)</f>
        <v>0</v>
      </c>
      <c r="BN169" s="106"/>
      <c r="BO169" s="107"/>
      <c r="BP169" s="108"/>
      <c r="BQ169" s="105">
        <f t="shared" si="1688"/>
        <v>50.317000000000007</v>
      </c>
      <c r="BR169" s="106">
        <f t="shared" si="1689"/>
        <v>31.355</v>
      </c>
      <c r="BS169" s="107">
        <f t="shared" si="1720"/>
        <v>0</v>
      </c>
      <c r="BT169" s="108">
        <f>BD169+BL169</f>
        <v>18.962000000000003</v>
      </c>
      <c r="BU169" s="105">
        <f t="shared" si="1722"/>
        <v>43.882000000000005</v>
      </c>
      <c r="BV169" s="106">
        <f t="shared" si="1723"/>
        <v>24.92</v>
      </c>
      <c r="BW169" s="107">
        <f t="shared" si="1724"/>
        <v>0</v>
      </c>
      <c r="BX169" s="108">
        <f>BH169+BP169</f>
        <v>18.962000000000003</v>
      </c>
      <c r="BY169" s="164">
        <f t="shared" ref="BY169" si="1768">SUM(BZ169,CB169)</f>
        <v>0</v>
      </c>
      <c r="BZ169" s="147"/>
      <c r="CA169" s="161"/>
      <c r="CB169" s="162"/>
      <c r="CC169" s="164">
        <f t="shared" ref="CC169" si="1769">SUM(CD169,CF169)</f>
        <v>0</v>
      </c>
      <c r="CD169" s="147"/>
      <c r="CE169" s="161"/>
      <c r="CF169" s="162"/>
      <c r="CG169" s="105">
        <f t="shared" si="1690"/>
        <v>50.317000000000007</v>
      </c>
      <c r="CH169" s="106">
        <f t="shared" si="1691"/>
        <v>31.355</v>
      </c>
      <c r="CI169" s="107">
        <f t="shared" si="1726"/>
        <v>0</v>
      </c>
      <c r="CJ169" s="108">
        <f>BT169+CB169</f>
        <v>18.962000000000003</v>
      </c>
      <c r="CK169" s="105">
        <f t="shared" si="1728"/>
        <v>43.882000000000005</v>
      </c>
      <c r="CL169" s="106">
        <f t="shared" si="1729"/>
        <v>24.92</v>
      </c>
      <c r="CM169" s="107">
        <f t="shared" si="1730"/>
        <v>0</v>
      </c>
      <c r="CN169" s="108">
        <f>BX169+CF169</f>
        <v>18.962000000000003</v>
      </c>
      <c r="CO169" s="164">
        <f t="shared" ref="CO169" si="1770">SUM(CP169,CR169)</f>
        <v>0</v>
      </c>
      <c r="CP169" s="147"/>
      <c r="CQ169" s="161"/>
      <c r="CR169" s="162"/>
      <c r="CS169" s="164">
        <f t="shared" ref="CS169" si="1771">SUM(CT169,CV169)</f>
        <v>0</v>
      </c>
      <c r="CT169" s="147"/>
      <c r="CU169" s="161"/>
      <c r="CV169" s="162"/>
      <c r="CW169" s="105">
        <f t="shared" si="1692"/>
        <v>50.317000000000007</v>
      </c>
      <c r="CX169" s="106">
        <f t="shared" si="1693"/>
        <v>31.355</v>
      </c>
      <c r="CY169" s="107">
        <f t="shared" si="1732"/>
        <v>0</v>
      </c>
      <c r="CZ169" s="108">
        <f>CJ169+CR169</f>
        <v>18.962000000000003</v>
      </c>
      <c r="DA169" s="105">
        <f t="shared" si="1734"/>
        <v>43.882000000000005</v>
      </c>
      <c r="DB169" s="106">
        <f t="shared" si="1735"/>
        <v>24.92</v>
      </c>
      <c r="DC169" s="107">
        <f t="shared" si="1736"/>
        <v>0</v>
      </c>
      <c r="DD169" s="108">
        <f>CN169+CV169</f>
        <v>18.962000000000003</v>
      </c>
      <c r="DE169" s="164">
        <f t="shared" ref="DE169" si="1772">SUM(DF169,DH169)</f>
        <v>0</v>
      </c>
      <c r="DF169" s="147"/>
      <c r="DG169" s="161"/>
      <c r="DH169" s="162"/>
      <c r="DI169" s="164">
        <f t="shared" ref="DI169" si="1773">SUM(DJ169,DL169)</f>
        <v>0</v>
      </c>
      <c r="DJ169" s="147"/>
      <c r="DK169" s="161"/>
      <c r="DL169" s="162"/>
      <c r="DM169" s="105">
        <f t="shared" si="1694"/>
        <v>50.317000000000007</v>
      </c>
      <c r="DN169" s="106">
        <f t="shared" si="1695"/>
        <v>31.355</v>
      </c>
      <c r="DO169" s="107">
        <f t="shared" si="1738"/>
        <v>0</v>
      </c>
      <c r="DP169" s="108">
        <f>CZ169+DH169</f>
        <v>18.962000000000003</v>
      </c>
      <c r="DQ169" s="105">
        <f t="shared" si="1740"/>
        <v>43.882000000000005</v>
      </c>
      <c r="DR169" s="106">
        <f t="shared" si="1741"/>
        <v>24.92</v>
      </c>
      <c r="DS169" s="107">
        <f t="shared" si="1742"/>
        <v>0</v>
      </c>
      <c r="DT169" s="108">
        <f>DD169+DL169</f>
        <v>18.962000000000003</v>
      </c>
      <c r="DU169" s="164">
        <f t="shared" ref="DU169" si="1774">SUM(DV169,DX169)</f>
        <v>0</v>
      </c>
      <c r="DV169" s="147"/>
      <c r="DW169" s="161"/>
      <c r="DX169" s="162"/>
      <c r="DY169" s="164">
        <f t="shared" ref="DY169" si="1775">SUM(DZ169,EB169)</f>
        <v>0</v>
      </c>
      <c r="DZ169" s="147"/>
      <c r="EA169" s="161"/>
      <c r="EB169" s="162"/>
      <c r="EC169" s="105">
        <f t="shared" si="1696"/>
        <v>50.317000000000007</v>
      </c>
      <c r="ED169" s="106">
        <f t="shared" si="1697"/>
        <v>31.355</v>
      </c>
      <c r="EE169" s="107">
        <f t="shared" si="1744"/>
        <v>0</v>
      </c>
      <c r="EF169" s="108">
        <f>DP169+DX169</f>
        <v>18.962000000000003</v>
      </c>
      <c r="EG169" s="105">
        <f t="shared" si="1746"/>
        <v>43.882000000000005</v>
      </c>
      <c r="EH169" s="106">
        <f t="shared" si="1747"/>
        <v>24.92</v>
      </c>
      <c r="EI169" s="107">
        <f t="shared" si="1748"/>
        <v>0</v>
      </c>
      <c r="EJ169" s="108">
        <f>DT169+EB169</f>
        <v>18.962000000000003</v>
      </c>
      <c r="EK169" s="154">
        <f t="shared" si="1402"/>
        <v>-42.855000000000004</v>
      </c>
      <c r="EL169" s="154">
        <f t="shared" si="1403"/>
        <v>-50.317000000000007</v>
      </c>
      <c r="EM169" s="105">
        <f t="shared" ref="EM169" si="1776">SUM(EN169,EP169)</f>
        <v>0</v>
      </c>
      <c r="EN169" s="106"/>
      <c r="EO169" s="107"/>
      <c r="EP169" s="108"/>
      <c r="EQ169" s="105">
        <f t="shared" ref="EQ169" si="1777">SUM(ER169,ET169)</f>
        <v>0</v>
      </c>
      <c r="ER169" s="106"/>
      <c r="ES169" s="107"/>
      <c r="ET169" s="108"/>
    </row>
    <row r="170" spans="1:150" ht="24.65" customHeight="1" x14ac:dyDescent="0.3">
      <c r="A170" s="50"/>
      <c r="B170" s="33" t="s">
        <v>155</v>
      </c>
      <c r="C170" s="59" t="s">
        <v>113</v>
      </c>
      <c r="D170" s="96"/>
      <c r="E170" s="148">
        <f>SUM(F170,H170)</f>
        <v>442.26100000000002</v>
      </c>
      <c r="F170" s="149">
        <f>SUM(F172:F176)</f>
        <v>442.26100000000002</v>
      </c>
      <c r="G170" s="150">
        <f>SUM(G172:G176)</f>
        <v>348.34</v>
      </c>
      <c r="H170" s="151">
        <f>SUM(H172:H176)</f>
        <v>0</v>
      </c>
      <c r="I170" s="148">
        <f>SUM(J170,L170)</f>
        <v>10.271000000000001</v>
      </c>
      <c r="J170" s="149">
        <f>SUM(J173:J176)</f>
        <v>10.271000000000001</v>
      </c>
      <c r="K170" s="150">
        <f>SUM(K173:K175)</f>
        <v>0</v>
      </c>
      <c r="L170" s="151">
        <f>SUM(L173:L175)</f>
        <v>0</v>
      </c>
      <c r="M170" s="148">
        <f>SUM(N170,P170)</f>
        <v>0</v>
      </c>
      <c r="N170" s="149">
        <f>SUM(N172:N176)</f>
        <v>0</v>
      </c>
      <c r="O170" s="150">
        <f>SUM(O172:O176)</f>
        <v>0</v>
      </c>
      <c r="P170" s="151">
        <f>SUM(P172:P176)</f>
        <v>0</v>
      </c>
      <c r="Q170" s="148">
        <f>SUM(R170,T170)</f>
        <v>0</v>
      </c>
      <c r="R170" s="149">
        <f>SUM(R173:R176)</f>
        <v>0</v>
      </c>
      <c r="S170" s="150">
        <f>SUM(S173:S175)</f>
        <v>0</v>
      </c>
      <c r="T170" s="151">
        <f>SUM(T173:T175)</f>
        <v>0</v>
      </c>
      <c r="U170" s="148">
        <f>SUM(V170,X170)</f>
        <v>442.26100000000002</v>
      </c>
      <c r="V170" s="149">
        <f>SUM(V172:V176)</f>
        <v>442.26100000000002</v>
      </c>
      <c r="W170" s="150">
        <f>SUM(W172:W176)</f>
        <v>348.34</v>
      </c>
      <c r="X170" s="151">
        <f>SUM(X172:X176)</f>
        <v>0</v>
      </c>
      <c r="Y170" s="148">
        <f>SUM(Z170,AB170)</f>
        <v>10.271000000000001</v>
      </c>
      <c r="Z170" s="149">
        <f>SUM(Z173:Z176)</f>
        <v>10.271000000000001</v>
      </c>
      <c r="AA170" s="150">
        <f>SUM(AA173:AA175)</f>
        <v>0</v>
      </c>
      <c r="AB170" s="151">
        <f>SUM(AB173:AB175)</f>
        <v>0</v>
      </c>
      <c r="AC170" s="148">
        <f>SUM(AD170,AF170)</f>
        <v>0</v>
      </c>
      <c r="AD170" s="149">
        <f>SUM(AD172:AD176)</f>
        <v>0</v>
      </c>
      <c r="AE170" s="150">
        <f>SUM(AE172:AE176)</f>
        <v>-1</v>
      </c>
      <c r="AF170" s="151">
        <f>SUM(AF172:AF176)</f>
        <v>0</v>
      </c>
      <c r="AG170" s="148">
        <f>SUM(AH170,AJ170)</f>
        <v>0</v>
      </c>
      <c r="AH170" s="149">
        <f>SUM(AH173:AH176)</f>
        <v>0</v>
      </c>
      <c r="AI170" s="150">
        <f>SUM(AI173:AI175)</f>
        <v>0</v>
      </c>
      <c r="AJ170" s="151">
        <f>SUM(AJ173:AJ175)</f>
        <v>0</v>
      </c>
      <c r="AK170" s="148">
        <f>SUM(AL170,AN170)</f>
        <v>442.26100000000002</v>
      </c>
      <c r="AL170" s="149">
        <f>SUM(AL172:AL176)</f>
        <v>442.26100000000002</v>
      </c>
      <c r="AM170" s="150">
        <f>SUM(AM172:AM176)</f>
        <v>347.34</v>
      </c>
      <c r="AN170" s="151">
        <f>SUM(AN172:AN176)</f>
        <v>0</v>
      </c>
      <c r="AO170" s="148">
        <f>SUM(AP170,AR170)</f>
        <v>10.271000000000001</v>
      </c>
      <c r="AP170" s="149">
        <f>SUM(AP173:AP176)</f>
        <v>10.271000000000001</v>
      </c>
      <c r="AQ170" s="150">
        <f>SUM(AQ173:AQ175)</f>
        <v>0</v>
      </c>
      <c r="AR170" s="151">
        <f>SUM(AR173:AR175)</f>
        <v>0</v>
      </c>
      <c r="AS170" s="148">
        <f>SUM(AT170,AV170)</f>
        <v>0</v>
      </c>
      <c r="AT170" s="149">
        <f>SUM(AT172:AT176)</f>
        <v>0</v>
      </c>
      <c r="AU170" s="150">
        <f>SUM(AU172:AU176)</f>
        <v>0</v>
      </c>
      <c r="AV170" s="151">
        <f>SUM(AV172:AV176)</f>
        <v>0</v>
      </c>
      <c r="AW170" s="148">
        <f>SUM(AX170,AZ170)</f>
        <v>0</v>
      </c>
      <c r="AX170" s="149">
        <f>SUM(AX173:AX176)</f>
        <v>0</v>
      </c>
      <c r="AY170" s="150">
        <f>SUM(AY173:AY175)</f>
        <v>0</v>
      </c>
      <c r="AZ170" s="151">
        <f>SUM(AZ173:AZ175)</f>
        <v>0</v>
      </c>
      <c r="BA170" s="148">
        <f>SUM(BB170,BD170)</f>
        <v>442.26100000000002</v>
      </c>
      <c r="BB170" s="149">
        <f>SUM(BB172:BB176)</f>
        <v>442.26100000000002</v>
      </c>
      <c r="BC170" s="150">
        <f>SUM(BC172:BC176)</f>
        <v>347.34</v>
      </c>
      <c r="BD170" s="151">
        <f>SUM(BD172:BD176)</f>
        <v>0</v>
      </c>
      <c r="BE170" s="148">
        <f>SUM(BF170,BH170)</f>
        <v>10.271000000000001</v>
      </c>
      <c r="BF170" s="149">
        <f>SUM(BF173:BF176)</f>
        <v>10.271000000000001</v>
      </c>
      <c r="BG170" s="150">
        <f>SUM(BG173:BG175)</f>
        <v>0</v>
      </c>
      <c r="BH170" s="151">
        <f>SUM(BH173:BH175)</f>
        <v>0</v>
      </c>
      <c r="BI170" s="148">
        <f>SUM(BJ170,BL170)</f>
        <v>0</v>
      </c>
      <c r="BJ170" s="149">
        <f>SUM(BJ172:BJ176)</f>
        <v>0</v>
      </c>
      <c r="BK170" s="150">
        <f>SUM(BK172:BK176)</f>
        <v>0</v>
      </c>
      <c r="BL170" s="151">
        <f>SUM(BL172:BL176)</f>
        <v>0</v>
      </c>
      <c r="BM170" s="148">
        <f>SUM(BN170,BP170)</f>
        <v>0</v>
      </c>
      <c r="BN170" s="149">
        <f>SUM(BN173:BN176)</f>
        <v>0</v>
      </c>
      <c r="BO170" s="150">
        <f>SUM(BO173:BO175)</f>
        <v>0</v>
      </c>
      <c r="BP170" s="151">
        <f>SUM(BP173:BP175)</f>
        <v>0</v>
      </c>
      <c r="BQ170" s="148">
        <f>SUM(BR170,BT170)</f>
        <v>442.26100000000002</v>
      </c>
      <c r="BR170" s="149">
        <f>SUM(BR172:BR176)</f>
        <v>442.26100000000002</v>
      </c>
      <c r="BS170" s="150">
        <f>SUM(BS172:BS176)</f>
        <v>347.34</v>
      </c>
      <c r="BT170" s="151">
        <f>SUM(BT172:BT176)</f>
        <v>0</v>
      </c>
      <c r="BU170" s="148">
        <f>SUM(BV170,BX170)</f>
        <v>10.271000000000001</v>
      </c>
      <c r="BV170" s="149">
        <f>SUM(BV173:BV176)</f>
        <v>10.271000000000001</v>
      </c>
      <c r="BW170" s="150">
        <f>SUM(BW173:BW175)</f>
        <v>0</v>
      </c>
      <c r="BX170" s="151">
        <f>SUM(BX173:BX175)</f>
        <v>0</v>
      </c>
      <c r="BY170" s="175">
        <f>SUM(BZ170,CB170)</f>
        <v>10.488</v>
      </c>
      <c r="BZ170" s="176">
        <f>SUM(BZ172:BZ176)</f>
        <v>4.2880000000000003</v>
      </c>
      <c r="CA170" s="177">
        <f>SUM(CA172:CA176)</f>
        <v>-1.6</v>
      </c>
      <c r="CB170" s="178">
        <f>SUM(CB172:CB176)</f>
        <v>6.2</v>
      </c>
      <c r="CC170" s="175">
        <f>SUM(CD170,CF170)</f>
        <v>0</v>
      </c>
      <c r="CD170" s="176">
        <f>SUM(CD173:CD176)</f>
        <v>0</v>
      </c>
      <c r="CE170" s="177">
        <f>SUM(CE173:CE175)</f>
        <v>0</v>
      </c>
      <c r="CF170" s="178">
        <f>SUM(CF173:CF175)</f>
        <v>0</v>
      </c>
      <c r="CG170" s="148">
        <f>SUM(CH170,CJ170)</f>
        <v>452.74899999999997</v>
      </c>
      <c r="CH170" s="149">
        <f>SUM(CH172:CH176)</f>
        <v>446.54899999999998</v>
      </c>
      <c r="CI170" s="150">
        <f>SUM(CI172:CI176)</f>
        <v>345.73999999999995</v>
      </c>
      <c r="CJ170" s="151">
        <f>SUM(CJ172:CJ176)</f>
        <v>6.2</v>
      </c>
      <c r="CK170" s="148">
        <f>SUM(CL170,CN170)</f>
        <v>10.271000000000001</v>
      </c>
      <c r="CL170" s="149">
        <f>SUM(CL173:CL176)</f>
        <v>10.271000000000001</v>
      </c>
      <c r="CM170" s="150">
        <f>SUM(CM173:CM175)</f>
        <v>0</v>
      </c>
      <c r="CN170" s="151">
        <f>SUM(CN173:CN175)</f>
        <v>0</v>
      </c>
      <c r="CO170" s="175">
        <f>SUM(CP170,CR170)</f>
        <v>0</v>
      </c>
      <c r="CP170" s="176">
        <f>SUM(CP172:CP176)</f>
        <v>0</v>
      </c>
      <c r="CQ170" s="177">
        <f>SUM(CQ172:CQ176)</f>
        <v>0</v>
      </c>
      <c r="CR170" s="178">
        <f>SUM(CR172:CR176)</f>
        <v>0</v>
      </c>
      <c r="CS170" s="175">
        <f>SUM(CT170,CV170)</f>
        <v>0</v>
      </c>
      <c r="CT170" s="176">
        <f>SUM(CT173:CT176)</f>
        <v>0</v>
      </c>
      <c r="CU170" s="177">
        <f>SUM(CU173:CU175)</f>
        <v>0</v>
      </c>
      <c r="CV170" s="178">
        <f>SUM(CV173:CV175)</f>
        <v>0</v>
      </c>
      <c r="CW170" s="148">
        <f>SUM(CX170,CZ170)</f>
        <v>452.74899999999997</v>
      </c>
      <c r="CX170" s="149">
        <f>SUM(CX172:CX176)</f>
        <v>446.54899999999998</v>
      </c>
      <c r="CY170" s="150">
        <f>SUM(CY172:CY176)</f>
        <v>345.73999999999995</v>
      </c>
      <c r="CZ170" s="151">
        <f>SUM(CZ172:CZ176)</f>
        <v>6.2</v>
      </c>
      <c r="DA170" s="148">
        <f>SUM(DB170,DD170)</f>
        <v>10.271000000000001</v>
      </c>
      <c r="DB170" s="149">
        <f>SUM(DB173:DB176)</f>
        <v>10.271000000000001</v>
      </c>
      <c r="DC170" s="150">
        <f>SUM(DC173:DC175)</f>
        <v>0</v>
      </c>
      <c r="DD170" s="151">
        <f>SUM(DD173:DD175)</f>
        <v>0</v>
      </c>
      <c r="DE170" s="175">
        <f>SUM(DF170,DH170)</f>
        <v>6.3</v>
      </c>
      <c r="DF170" s="176">
        <f>SUM(DF172:DF176)</f>
        <v>-5.2</v>
      </c>
      <c r="DG170" s="177">
        <f>SUM(DG172:DG176)</f>
        <v>-14.35</v>
      </c>
      <c r="DH170" s="178">
        <f>SUM(DH172:DH176)</f>
        <v>11.5</v>
      </c>
      <c r="DI170" s="175">
        <f>SUM(DJ170,DL170)</f>
        <v>0</v>
      </c>
      <c r="DJ170" s="176">
        <f>SUM(DJ173:DJ176)</f>
        <v>0</v>
      </c>
      <c r="DK170" s="177">
        <f>SUM(DK173:DK175)</f>
        <v>0</v>
      </c>
      <c r="DL170" s="178">
        <f>SUM(DL173:DL175)</f>
        <v>0</v>
      </c>
      <c r="DM170" s="148">
        <f>SUM(DN170,DP170)</f>
        <v>459.04899999999998</v>
      </c>
      <c r="DN170" s="149">
        <f>SUM(DN172:DN176)</f>
        <v>441.34899999999999</v>
      </c>
      <c r="DO170" s="150">
        <f>SUM(DO172:DO176)</f>
        <v>331.38999999999993</v>
      </c>
      <c r="DP170" s="151">
        <f>SUM(DP172:DP176)</f>
        <v>17.7</v>
      </c>
      <c r="DQ170" s="148">
        <f>SUM(DR170,DT170)</f>
        <v>10.271000000000001</v>
      </c>
      <c r="DR170" s="149">
        <f>SUM(DR173:DR176)</f>
        <v>10.271000000000001</v>
      </c>
      <c r="DS170" s="150">
        <f>SUM(DS173:DS175)</f>
        <v>0</v>
      </c>
      <c r="DT170" s="151">
        <f>SUM(DT173:DT175)</f>
        <v>0</v>
      </c>
      <c r="DU170" s="175">
        <f>SUM(DV170,DX170)</f>
        <v>0.79999999999999982</v>
      </c>
      <c r="DV170" s="176">
        <f>SUM(DV172:DV176)</f>
        <v>-2.2000000000000002</v>
      </c>
      <c r="DW170" s="177">
        <f>SUM(DW172:DW176)</f>
        <v>-3</v>
      </c>
      <c r="DX170" s="178">
        <f>SUM(DX172:DX176)</f>
        <v>3</v>
      </c>
      <c r="DY170" s="175">
        <f>SUM(DZ170,EB170)</f>
        <v>0</v>
      </c>
      <c r="DZ170" s="176">
        <f>SUM(DZ173:DZ176)</f>
        <v>0</v>
      </c>
      <c r="EA170" s="177">
        <f>SUM(EA173:EA175)</f>
        <v>0</v>
      </c>
      <c r="EB170" s="178">
        <f>SUM(EB173:EB175)</f>
        <v>0</v>
      </c>
      <c r="EC170" s="148">
        <f>SUM(ED170,EF170)</f>
        <v>459.84899999999999</v>
      </c>
      <c r="ED170" s="149">
        <f>SUM(ED172:ED176)</f>
        <v>439.149</v>
      </c>
      <c r="EE170" s="150">
        <f>SUM(EE172:EE176)</f>
        <v>328.38999999999993</v>
      </c>
      <c r="EF170" s="151">
        <f>SUM(EF172:EF176)</f>
        <v>20.7</v>
      </c>
      <c r="EG170" s="148">
        <f>SUM(EH170,EJ170)</f>
        <v>10.271000000000001</v>
      </c>
      <c r="EH170" s="149">
        <f>SUM(EH173:EH176)</f>
        <v>10.271000000000001</v>
      </c>
      <c r="EI170" s="150">
        <f>SUM(EI173:EI175)</f>
        <v>0</v>
      </c>
      <c r="EJ170" s="151">
        <f>SUM(EJ173:EJ175)</f>
        <v>0</v>
      </c>
      <c r="EK170" s="155">
        <f t="shared" si="1402"/>
        <v>39.569999999999936</v>
      </c>
      <c r="EL170" s="155">
        <f t="shared" si="1403"/>
        <v>21.981999999999971</v>
      </c>
      <c r="EM170" s="148">
        <f>SUM(EN170,EP170)</f>
        <v>481.83099999999996</v>
      </c>
      <c r="EN170" s="149">
        <f>SUM(EN172:EN176)</f>
        <v>478.83099999999996</v>
      </c>
      <c r="EO170" s="150">
        <f>SUM(EO172:EO176)</f>
        <v>383.71999999999997</v>
      </c>
      <c r="EP170" s="151">
        <f>SUM(EP172:EP176)</f>
        <v>3</v>
      </c>
      <c r="EQ170" s="148">
        <f>SUM(ER170,ET170)</f>
        <v>6.0999999999999999E-2</v>
      </c>
      <c r="ER170" s="149">
        <f>SUM(ER173:ER176)</f>
        <v>6.0999999999999999E-2</v>
      </c>
      <c r="ES170" s="150">
        <f>SUM(ES173:ES175)</f>
        <v>0</v>
      </c>
      <c r="ET170" s="151">
        <f>SUM(ET173:ET175)</f>
        <v>0</v>
      </c>
    </row>
    <row r="171" spans="1:150" ht="17.399999999999999" customHeight="1" x14ac:dyDescent="0.3">
      <c r="A171" s="50"/>
      <c r="B171" s="6" t="s">
        <v>2</v>
      </c>
      <c r="C171" s="51"/>
      <c r="D171" s="94"/>
      <c r="E171" s="105"/>
      <c r="F171" s="106"/>
      <c r="G171" s="107"/>
      <c r="H171" s="108"/>
      <c r="I171" s="105"/>
      <c r="J171" s="106"/>
      <c r="K171" s="107"/>
      <c r="L171" s="108"/>
      <c r="M171" s="105"/>
      <c r="N171" s="106"/>
      <c r="O171" s="107"/>
      <c r="P171" s="108"/>
      <c r="Q171" s="105"/>
      <c r="R171" s="106"/>
      <c r="S171" s="107"/>
      <c r="T171" s="108"/>
      <c r="U171" s="105"/>
      <c r="V171" s="106"/>
      <c r="W171" s="107"/>
      <c r="X171" s="108"/>
      <c r="Y171" s="105"/>
      <c r="Z171" s="106"/>
      <c r="AA171" s="107"/>
      <c r="AB171" s="108"/>
      <c r="AC171" s="105"/>
      <c r="AD171" s="106"/>
      <c r="AE171" s="107"/>
      <c r="AF171" s="108"/>
      <c r="AG171" s="105"/>
      <c r="AH171" s="106"/>
      <c r="AI171" s="107"/>
      <c r="AJ171" s="108"/>
      <c r="AK171" s="105"/>
      <c r="AL171" s="106"/>
      <c r="AM171" s="107"/>
      <c r="AN171" s="108"/>
      <c r="AO171" s="105"/>
      <c r="AP171" s="106"/>
      <c r="AQ171" s="107"/>
      <c r="AR171" s="108"/>
      <c r="AS171" s="105"/>
      <c r="AT171" s="106"/>
      <c r="AU171" s="107"/>
      <c r="AV171" s="108"/>
      <c r="AW171" s="105"/>
      <c r="AX171" s="106"/>
      <c r="AY171" s="107"/>
      <c r="AZ171" s="108"/>
      <c r="BA171" s="105"/>
      <c r="BB171" s="106"/>
      <c r="BC171" s="107"/>
      <c r="BD171" s="108"/>
      <c r="BE171" s="105"/>
      <c r="BF171" s="106"/>
      <c r="BG171" s="107"/>
      <c r="BH171" s="108"/>
      <c r="BI171" s="105"/>
      <c r="BJ171" s="106"/>
      <c r="BK171" s="107"/>
      <c r="BL171" s="108"/>
      <c r="BM171" s="105"/>
      <c r="BN171" s="106"/>
      <c r="BO171" s="107"/>
      <c r="BP171" s="108"/>
      <c r="BQ171" s="105"/>
      <c r="BR171" s="106"/>
      <c r="BS171" s="107"/>
      <c r="BT171" s="108"/>
      <c r="BU171" s="105"/>
      <c r="BV171" s="106"/>
      <c r="BW171" s="107"/>
      <c r="BX171" s="108"/>
      <c r="BY171" s="164"/>
      <c r="BZ171" s="147"/>
      <c r="CA171" s="161"/>
      <c r="CB171" s="162"/>
      <c r="CC171" s="164"/>
      <c r="CD171" s="147"/>
      <c r="CE171" s="161"/>
      <c r="CF171" s="162"/>
      <c r="CG171" s="105"/>
      <c r="CH171" s="106"/>
      <c r="CI171" s="107"/>
      <c r="CJ171" s="108"/>
      <c r="CK171" s="105"/>
      <c r="CL171" s="106"/>
      <c r="CM171" s="107"/>
      <c r="CN171" s="108"/>
      <c r="CO171" s="164"/>
      <c r="CP171" s="147"/>
      <c r="CQ171" s="161"/>
      <c r="CR171" s="162"/>
      <c r="CS171" s="164"/>
      <c r="CT171" s="147"/>
      <c r="CU171" s="161"/>
      <c r="CV171" s="162"/>
      <c r="CW171" s="105"/>
      <c r="CX171" s="106"/>
      <c r="CY171" s="107"/>
      <c r="CZ171" s="108"/>
      <c r="DA171" s="105"/>
      <c r="DB171" s="106"/>
      <c r="DC171" s="107"/>
      <c r="DD171" s="108"/>
      <c r="DE171" s="164"/>
      <c r="DF171" s="147"/>
      <c r="DG171" s="161"/>
      <c r="DH171" s="162"/>
      <c r="DI171" s="164"/>
      <c r="DJ171" s="147"/>
      <c r="DK171" s="161"/>
      <c r="DL171" s="162"/>
      <c r="DM171" s="105"/>
      <c r="DN171" s="106"/>
      <c r="DO171" s="107"/>
      <c r="DP171" s="108"/>
      <c r="DQ171" s="105"/>
      <c r="DR171" s="106"/>
      <c r="DS171" s="107"/>
      <c r="DT171" s="108"/>
      <c r="DU171" s="164"/>
      <c r="DV171" s="147"/>
      <c r="DW171" s="161"/>
      <c r="DX171" s="162"/>
      <c r="DY171" s="164"/>
      <c r="DZ171" s="147"/>
      <c r="EA171" s="161"/>
      <c r="EB171" s="162"/>
      <c r="EC171" s="105"/>
      <c r="ED171" s="106"/>
      <c r="EE171" s="107"/>
      <c r="EF171" s="108"/>
      <c r="EG171" s="105"/>
      <c r="EH171" s="106"/>
      <c r="EI171" s="107"/>
      <c r="EJ171" s="108"/>
      <c r="EK171" s="153">
        <f t="shared" si="1402"/>
        <v>0</v>
      </c>
      <c r="EL171" s="153">
        <f t="shared" si="1403"/>
        <v>0</v>
      </c>
      <c r="EM171" s="105"/>
      <c r="EN171" s="106"/>
      <c r="EO171" s="107"/>
      <c r="EP171" s="108"/>
      <c r="EQ171" s="105"/>
      <c r="ER171" s="106"/>
      <c r="ES171" s="107"/>
      <c r="ET171" s="108"/>
    </row>
    <row r="172" spans="1:150" ht="23.25" hidden="1" customHeight="1" x14ac:dyDescent="0.25">
      <c r="A172" s="138" t="s">
        <v>26</v>
      </c>
      <c r="B172" s="143" t="s">
        <v>42</v>
      </c>
      <c r="C172" s="48" t="s">
        <v>93</v>
      </c>
      <c r="D172" s="93" t="s">
        <v>37</v>
      </c>
      <c r="E172" s="105"/>
      <c r="F172" s="106"/>
      <c r="G172" s="107"/>
      <c r="H172" s="108"/>
      <c r="I172" s="105"/>
      <c r="J172" s="106"/>
      <c r="K172" s="107"/>
      <c r="L172" s="108"/>
      <c r="M172" s="105"/>
      <c r="N172" s="106"/>
      <c r="O172" s="107"/>
      <c r="P172" s="108"/>
      <c r="Q172" s="105"/>
      <c r="R172" s="106"/>
      <c r="S172" s="107"/>
      <c r="T172" s="108"/>
      <c r="U172" s="105"/>
      <c r="V172" s="106"/>
      <c r="W172" s="107"/>
      <c r="X172" s="108"/>
      <c r="Y172" s="105"/>
      <c r="Z172" s="106"/>
      <c r="AA172" s="107"/>
      <c r="AB172" s="108"/>
      <c r="AC172" s="105"/>
      <c r="AD172" s="106"/>
      <c r="AE172" s="107"/>
      <c r="AF172" s="108"/>
      <c r="AG172" s="105"/>
      <c r="AH172" s="106"/>
      <c r="AI172" s="107"/>
      <c r="AJ172" s="108"/>
      <c r="AK172" s="105"/>
      <c r="AL172" s="106"/>
      <c r="AM172" s="107"/>
      <c r="AN172" s="108"/>
      <c r="AO172" s="105"/>
      <c r="AP172" s="106"/>
      <c r="AQ172" s="107"/>
      <c r="AR172" s="108"/>
      <c r="AS172" s="105"/>
      <c r="AT172" s="106"/>
      <c r="AU172" s="107"/>
      <c r="AV172" s="108"/>
      <c r="AW172" s="105"/>
      <c r="AX172" s="106"/>
      <c r="AY172" s="107"/>
      <c r="AZ172" s="108"/>
      <c r="BA172" s="105"/>
      <c r="BB172" s="106"/>
      <c r="BC172" s="107"/>
      <c r="BD172" s="108"/>
      <c r="BE172" s="105"/>
      <c r="BF172" s="106"/>
      <c r="BG172" s="107"/>
      <c r="BH172" s="108"/>
      <c r="BI172" s="105"/>
      <c r="BJ172" s="106"/>
      <c r="BK172" s="107"/>
      <c r="BL172" s="108"/>
      <c r="BM172" s="105"/>
      <c r="BN172" s="106"/>
      <c r="BO172" s="107"/>
      <c r="BP172" s="108"/>
      <c r="BQ172" s="105"/>
      <c r="BR172" s="106"/>
      <c r="BS172" s="107"/>
      <c r="BT172" s="108"/>
      <c r="BU172" s="105"/>
      <c r="BV172" s="106"/>
      <c r="BW172" s="107"/>
      <c r="BX172" s="108"/>
      <c r="BY172" s="164"/>
      <c r="BZ172" s="147"/>
      <c r="CA172" s="161"/>
      <c r="CB172" s="162"/>
      <c r="CC172" s="164"/>
      <c r="CD172" s="147"/>
      <c r="CE172" s="161"/>
      <c r="CF172" s="162"/>
      <c r="CG172" s="105"/>
      <c r="CH172" s="106"/>
      <c r="CI172" s="107"/>
      <c r="CJ172" s="108"/>
      <c r="CK172" s="105"/>
      <c r="CL172" s="106"/>
      <c r="CM172" s="107"/>
      <c r="CN172" s="108"/>
      <c r="CO172" s="164"/>
      <c r="CP172" s="147"/>
      <c r="CQ172" s="161"/>
      <c r="CR172" s="162"/>
      <c r="CS172" s="164"/>
      <c r="CT172" s="147"/>
      <c r="CU172" s="161"/>
      <c r="CV172" s="162"/>
      <c r="CW172" s="105"/>
      <c r="CX172" s="106"/>
      <c r="CY172" s="107"/>
      <c r="CZ172" s="108"/>
      <c r="DA172" s="105"/>
      <c r="DB172" s="106"/>
      <c r="DC172" s="107"/>
      <c r="DD172" s="108"/>
      <c r="DE172" s="164"/>
      <c r="DF172" s="147"/>
      <c r="DG172" s="161"/>
      <c r="DH172" s="162"/>
      <c r="DI172" s="164"/>
      <c r="DJ172" s="147"/>
      <c r="DK172" s="161"/>
      <c r="DL172" s="162"/>
      <c r="DM172" s="105"/>
      <c r="DN172" s="106"/>
      <c r="DO172" s="107"/>
      <c r="DP172" s="108"/>
      <c r="DQ172" s="105"/>
      <c r="DR172" s="106"/>
      <c r="DS172" s="107"/>
      <c r="DT172" s="108"/>
      <c r="DU172" s="164"/>
      <c r="DV172" s="147"/>
      <c r="DW172" s="161"/>
      <c r="DX172" s="162"/>
      <c r="DY172" s="164"/>
      <c r="DZ172" s="147"/>
      <c r="EA172" s="161"/>
      <c r="EB172" s="162"/>
      <c r="EC172" s="105"/>
      <c r="ED172" s="106"/>
      <c r="EE172" s="107"/>
      <c r="EF172" s="108"/>
      <c r="EG172" s="105"/>
      <c r="EH172" s="106"/>
      <c r="EI172" s="107"/>
      <c r="EJ172" s="108"/>
      <c r="EK172" s="153">
        <f t="shared" si="1402"/>
        <v>0</v>
      </c>
      <c r="EL172" s="153">
        <f t="shared" si="1403"/>
        <v>0</v>
      </c>
      <c r="EM172" s="105"/>
      <c r="EN172" s="106"/>
      <c r="EO172" s="107"/>
      <c r="EP172" s="108"/>
      <c r="EQ172" s="105"/>
      <c r="ER172" s="106"/>
      <c r="ES172" s="107"/>
      <c r="ET172" s="108"/>
    </row>
    <row r="173" spans="1:150" s="4" customFormat="1" ht="25.5" customHeight="1" x14ac:dyDescent="0.25">
      <c r="A173" s="704" t="s">
        <v>24</v>
      </c>
      <c r="B173" s="702" t="s">
        <v>45</v>
      </c>
      <c r="C173" s="48" t="s">
        <v>93</v>
      </c>
      <c r="D173" s="93" t="s">
        <v>37</v>
      </c>
      <c r="E173" s="105">
        <f>SUM(F173,H173)</f>
        <v>423.85</v>
      </c>
      <c r="F173" s="106">
        <f>25.3+373.55+25</f>
        <v>423.85</v>
      </c>
      <c r="G173" s="107">
        <f>24.94+326.4-3</f>
        <v>348.34</v>
      </c>
      <c r="H173" s="108"/>
      <c r="I173" s="105">
        <f>SUM(J173,L173)</f>
        <v>0</v>
      </c>
      <c r="J173" s="106"/>
      <c r="K173" s="107"/>
      <c r="L173" s="108"/>
      <c r="M173" s="105">
        <f>SUM(N173,P173)</f>
        <v>0</v>
      </c>
      <c r="N173" s="106"/>
      <c r="O173" s="107"/>
      <c r="P173" s="108"/>
      <c r="Q173" s="105">
        <f>SUM(R173,T173)</f>
        <v>0</v>
      </c>
      <c r="R173" s="106"/>
      <c r="S173" s="107"/>
      <c r="T173" s="108"/>
      <c r="U173" s="105">
        <f t="shared" ref="U173" si="1778">SUM(V173,X173)</f>
        <v>423.85</v>
      </c>
      <c r="V173" s="106">
        <f t="shared" ref="V173" si="1779">F173+N173</f>
        <v>423.85</v>
      </c>
      <c r="W173" s="107">
        <f t="shared" ref="W173" si="1780">G173+O173</f>
        <v>348.34</v>
      </c>
      <c r="X173" s="108">
        <f t="shared" ref="X173" si="1781">H173+P173</f>
        <v>0</v>
      </c>
      <c r="Y173" s="105">
        <f t="shared" ref="Y173" si="1782">SUM(Z173,AB173)</f>
        <v>0</v>
      </c>
      <c r="Z173" s="106">
        <f t="shared" ref="Z173" si="1783">J173+R173</f>
        <v>0</v>
      </c>
      <c r="AA173" s="107">
        <f t="shared" ref="AA173" si="1784">K173+S173</f>
        <v>0</v>
      </c>
      <c r="AB173" s="108">
        <f t="shared" ref="AB173" si="1785">L173+T173</f>
        <v>0</v>
      </c>
      <c r="AC173" s="105">
        <f>SUM(AD173,AF173)</f>
        <v>0</v>
      </c>
      <c r="AD173" s="106"/>
      <c r="AE173" s="107">
        <v>-1</v>
      </c>
      <c r="AF173" s="108"/>
      <c r="AG173" s="105">
        <f>SUM(AH173,AJ173)</f>
        <v>0</v>
      </c>
      <c r="AH173" s="106"/>
      <c r="AI173" s="107"/>
      <c r="AJ173" s="108"/>
      <c r="AK173" s="105">
        <f t="shared" ref="AK173:AK176" si="1786">SUM(AL173,AN173)</f>
        <v>423.85</v>
      </c>
      <c r="AL173" s="106">
        <f t="shared" ref="AL173:AL176" si="1787">V173+AD173</f>
        <v>423.85</v>
      </c>
      <c r="AM173" s="107">
        <f t="shared" ref="AM173:AM176" si="1788">W173+AE173</f>
        <v>347.34</v>
      </c>
      <c r="AN173" s="108">
        <f t="shared" ref="AN173:AN176" si="1789">X173+AF173</f>
        <v>0</v>
      </c>
      <c r="AO173" s="105">
        <f t="shared" ref="AO173:AO176" si="1790">SUM(AP173,AR173)</f>
        <v>0</v>
      </c>
      <c r="AP173" s="106">
        <f t="shared" ref="AP173:AP176" si="1791">Z173+AH173</f>
        <v>0</v>
      </c>
      <c r="AQ173" s="107">
        <f t="shared" ref="AQ173:AQ176" si="1792">AA173+AI173</f>
        <v>0</v>
      </c>
      <c r="AR173" s="108">
        <f t="shared" ref="AR173:AR176" si="1793">AB173+AJ173</f>
        <v>0</v>
      </c>
      <c r="AS173" s="105">
        <f>SUM(AT173,AV173)</f>
        <v>0</v>
      </c>
      <c r="AT173" s="106"/>
      <c r="AU173" s="107"/>
      <c r="AV173" s="108"/>
      <c r="AW173" s="105">
        <f>SUM(AX173,AZ173)</f>
        <v>0</v>
      </c>
      <c r="AX173" s="106"/>
      <c r="AY173" s="107"/>
      <c r="AZ173" s="108"/>
      <c r="BA173" s="105">
        <f t="shared" ref="BA173:BA176" si="1794">SUM(BB173,BD173)</f>
        <v>423.85</v>
      </c>
      <c r="BB173" s="106">
        <f t="shared" ref="BB173:BB176" si="1795">AL173+AT173</f>
        <v>423.85</v>
      </c>
      <c r="BC173" s="107">
        <f t="shared" ref="BC173:BC176" si="1796">AM173+AU173</f>
        <v>347.34</v>
      </c>
      <c r="BD173" s="108">
        <f t="shared" ref="BD173:BD176" si="1797">AN173+AV173</f>
        <v>0</v>
      </c>
      <c r="BE173" s="105">
        <f t="shared" ref="BE173:BE176" si="1798">SUM(BF173,BH173)</f>
        <v>0</v>
      </c>
      <c r="BF173" s="106">
        <f t="shared" ref="BF173:BF176" si="1799">AP173+AX173</f>
        <v>0</v>
      </c>
      <c r="BG173" s="107">
        <f t="shared" ref="BG173:BG176" si="1800">AQ173+AY173</f>
        <v>0</v>
      </c>
      <c r="BH173" s="108">
        <f t="shared" ref="BH173:BH176" si="1801">AR173+AZ173</f>
        <v>0</v>
      </c>
      <c r="BI173" s="105">
        <f>SUM(BJ173,BL173)</f>
        <v>0</v>
      </c>
      <c r="BJ173" s="106"/>
      <c r="BK173" s="107"/>
      <c r="BL173" s="108"/>
      <c r="BM173" s="105">
        <f>SUM(BN173,BP173)</f>
        <v>0</v>
      </c>
      <c r="BN173" s="106"/>
      <c r="BO173" s="107"/>
      <c r="BP173" s="108"/>
      <c r="BQ173" s="105">
        <f t="shared" ref="BQ173:BQ176" si="1802">SUM(BR173,BT173)</f>
        <v>423.85</v>
      </c>
      <c r="BR173" s="106">
        <f t="shared" ref="BR173:BR176" si="1803">BB173+BJ173</f>
        <v>423.85</v>
      </c>
      <c r="BS173" s="107">
        <f t="shared" ref="BS173:BS176" si="1804">BC173+BK173</f>
        <v>347.34</v>
      </c>
      <c r="BT173" s="108">
        <f t="shared" ref="BT173:BT176" si="1805">BD173+BL173</f>
        <v>0</v>
      </c>
      <c r="BU173" s="105">
        <f t="shared" ref="BU173:BU176" si="1806">SUM(BV173,BX173)</f>
        <v>0</v>
      </c>
      <c r="BV173" s="106">
        <f t="shared" ref="BV173:BV176" si="1807">BF173+BN173</f>
        <v>0</v>
      </c>
      <c r="BW173" s="107">
        <f t="shared" ref="BW173:BW176" si="1808">BG173+BO173</f>
        <v>0</v>
      </c>
      <c r="BX173" s="108">
        <f t="shared" ref="BX173:BX176" si="1809">BH173+BP173</f>
        <v>0</v>
      </c>
      <c r="BY173" s="164">
        <f>SUM(BZ173,CB173)</f>
        <v>0</v>
      </c>
      <c r="BZ173" s="147"/>
      <c r="CA173" s="161">
        <v>-1.6</v>
      </c>
      <c r="CB173" s="162"/>
      <c r="CC173" s="164">
        <f>SUM(CD173,CF173)</f>
        <v>0</v>
      </c>
      <c r="CD173" s="147"/>
      <c r="CE173" s="161"/>
      <c r="CF173" s="162"/>
      <c r="CG173" s="105">
        <f t="shared" ref="CG173:CG176" si="1810">SUM(CH173,CJ173)</f>
        <v>423.85</v>
      </c>
      <c r="CH173" s="106">
        <f t="shared" ref="CH173:CH176" si="1811">BR173+BZ173</f>
        <v>423.85</v>
      </c>
      <c r="CI173" s="107">
        <f t="shared" ref="CI173:CI176" si="1812">BS173+CA173</f>
        <v>345.73999999999995</v>
      </c>
      <c r="CJ173" s="108">
        <f t="shared" ref="CJ173:CJ176" si="1813">BT173+CB173</f>
        <v>0</v>
      </c>
      <c r="CK173" s="105">
        <f t="shared" ref="CK173:CK176" si="1814">SUM(CL173,CN173)</f>
        <v>0</v>
      </c>
      <c r="CL173" s="106">
        <f t="shared" ref="CL173:CL176" si="1815">BV173+CD173</f>
        <v>0</v>
      </c>
      <c r="CM173" s="107">
        <f t="shared" ref="CM173:CM176" si="1816">BW173+CE173</f>
        <v>0</v>
      </c>
      <c r="CN173" s="108">
        <f t="shared" ref="CN173:CN176" si="1817">BX173+CF173</f>
        <v>0</v>
      </c>
      <c r="CO173" s="164">
        <f>SUM(CP173,CR173)</f>
        <v>0</v>
      </c>
      <c r="CP173" s="147"/>
      <c r="CQ173" s="161"/>
      <c r="CR173" s="162"/>
      <c r="CS173" s="164">
        <f>SUM(CT173,CV173)</f>
        <v>0</v>
      </c>
      <c r="CT173" s="147"/>
      <c r="CU173" s="161"/>
      <c r="CV173" s="162"/>
      <c r="CW173" s="105">
        <f t="shared" ref="CW173:CW176" si="1818">SUM(CX173,CZ173)</f>
        <v>423.85</v>
      </c>
      <c r="CX173" s="106">
        <f t="shared" ref="CX173:CX176" si="1819">CH173+CP173</f>
        <v>423.85</v>
      </c>
      <c r="CY173" s="107">
        <f t="shared" ref="CY173:CY176" si="1820">CI173+CQ173</f>
        <v>345.73999999999995</v>
      </c>
      <c r="CZ173" s="108">
        <f t="shared" ref="CZ173:CZ176" si="1821">CJ173+CR173</f>
        <v>0</v>
      </c>
      <c r="DA173" s="105">
        <f t="shared" ref="DA173:DA176" si="1822">SUM(DB173,DD173)</f>
        <v>0</v>
      </c>
      <c r="DB173" s="106">
        <f t="shared" ref="DB173:DB176" si="1823">CL173+CT173</f>
        <v>0</v>
      </c>
      <c r="DC173" s="107">
        <f t="shared" ref="DC173:DC176" si="1824">CM173+CU173</f>
        <v>0</v>
      </c>
      <c r="DD173" s="108">
        <f t="shared" ref="DD173:DD176" si="1825">CN173+CV173</f>
        <v>0</v>
      </c>
      <c r="DE173" s="164">
        <f>SUM(DF173,DH173)</f>
        <v>6.3</v>
      </c>
      <c r="DF173" s="147">
        <f>-0.4-11.5+6.7</f>
        <v>-5.2</v>
      </c>
      <c r="DG173" s="161">
        <f>-2.85-11.5</f>
        <v>-14.35</v>
      </c>
      <c r="DH173" s="162">
        <v>11.5</v>
      </c>
      <c r="DI173" s="164">
        <f>SUM(DJ173,DL173)</f>
        <v>0</v>
      </c>
      <c r="DJ173" s="147"/>
      <c r="DK173" s="161"/>
      <c r="DL173" s="162"/>
      <c r="DM173" s="105">
        <f t="shared" ref="DM173:DM176" si="1826">SUM(DN173,DP173)</f>
        <v>430.15000000000003</v>
      </c>
      <c r="DN173" s="106">
        <f t="shared" ref="DN173:DN176" si="1827">CX173+DF173</f>
        <v>418.65000000000003</v>
      </c>
      <c r="DO173" s="107">
        <f t="shared" ref="DO173:DO176" si="1828">CY173+DG173</f>
        <v>331.38999999999993</v>
      </c>
      <c r="DP173" s="108">
        <f t="shared" ref="DP173:DP176" si="1829">CZ173+DH173</f>
        <v>11.5</v>
      </c>
      <c r="DQ173" s="105">
        <f t="shared" ref="DQ173:DQ176" si="1830">SUM(DR173,DT173)</f>
        <v>0</v>
      </c>
      <c r="DR173" s="106">
        <f t="shared" ref="DR173:DR176" si="1831">DB173+DJ173</f>
        <v>0</v>
      </c>
      <c r="DS173" s="107">
        <f t="shared" ref="DS173:DS176" si="1832">DC173+DK173</f>
        <v>0</v>
      </c>
      <c r="DT173" s="108">
        <f t="shared" ref="DT173:DT176" si="1833">DD173+DL173</f>
        <v>0</v>
      </c>
      <c r="DU173" s="164">
        <f>SUM(DV173,DX173)</f>
        <v>0</v>
      </c>
      <c r="DV173" s="147">
        <v>-3</v>
      </c>
      <c r="DW173" s="161">
        <v>-3</v>
      </c>
      <c r="DX173" s="162">
        <v>3</v>
      </c>
      <c r="DY173" s="164">
        <f>SUM(DZ173,EB173)</f>
        <v>0</v>
      </c>
      <c r="DZ173" s="147"/>
      <c r="EA173" s="161"/>
      <c r="EB173" s="162"/>
      <c r="EC173" s="105">
        <f t="shared" ref="EC173:EC176" si="1834">SUM(ED173,EF173)</f>
        <v>430.15000000000003</v>
      </c>
      <c r="ED173" s="106">
        <f t="shared" ref="ED173:ED176" si="1835">DN173+DV173</f>
        <v>415.65000000000003</v>
      </c>
      <c r="EE173" s="107">
        <f t="shared" ref="EE173:EE176" si="1836">DO173+DW173</f>
        <v>328.38999999999993</v>
      </c>
      <c r="EF173" s="108">
        <f t="shared" ref="EF173:EF176" si="1837">DP173+DX173</f>
        <v>14.5</v>
      </c>
      <c r="EG173" s="105">
        <f t="shared" ref="EG173:EG176" si="1838">SUM(EH173,EJ173)</f>
        <v>0</v>
      </c>
      <c r="EH173" s="106">
        <f t="shared" ref="EH173:EH176" si="1839">DR173+DZ173</f>
        <v>0</v>
      </c>
      <c r="EI173" s="107">
        <f t="shared" ref="EI173:EI176" si="1840">DS173+EA173</f>
        <v>0</v>
      </c>
      <c r="EJ173" s="108">
        <f t="shared" ref="EJ173:EJ176" si="1841">DT173+EB173</f>
        <v>0</v>
      </c>
      <c r="EK173" s="163">
        <f t="shared" si="1402"/>
        <v>46.859999999999957</v>
      </c>
      <c r="EL173" s="163">
        <f t="shared" si="1403"/>
        <v>40.559999999999945</v>
      </c>
      <c r="EM173" s="105">
        <f>SUM(EN173,EP173)</f>
        <v>470.71</v>
      </c>
      <c r="EN173" s="106">
        <f>29.8+396.45+33+8.46</f>
        <v>467.71</v>
      </c>
      <c r="EO173" s="107">
        <f>29.38+346-2.2+8.34</f>
        <v>381.52</v>
      </c>
      <c r="EP173" s="108">
        <v>3</v>
      </c>
      <c r="EQ173" s="105">
        <f>SUM(ER173,ET173)</f>
        <v>0</v>
      </c>
      <c r="ER173" s="106"/>
      <c r="ES173" s="107"/>
      <c r="ET173" s="108"/>
    </row>
    <row r="174" spans="1:150" s="4" customFormat="1" ht="27" customHeight="1" x14ac:dyDescent="0.25">
      <c r="A174" s="716"/>
      <c r="B174" s="719"/>
      <c r="C174" s="48" t="s">
        <v>97</v>
      </c>
      <c r="D174" s="139" t="s">
        <v>52</v>
      </c>
      <c r="E174" s="105">
        <f>SUM(F174,H174)</f>
        <v>7.5709999999999997</v>
      </c>
      <c r="F174" s="106">
        <f>7.3+J174</f>
        <v>7.5709999999999997</v>
      </c>
      <c r="G174" s="107"/>
      <c r="H174" s="108"/>
      <c r="I174" s="105">
        <f>SUM(J174,L174)</f>
        <v>0.27100000000000002</v>
      </c>
      <c r="J174" s="106">
        <v>0.27100000000000002</v>
      </c>
      <c r="K174" s="107"/>
      <c r="L174" s="108"/>
      <c r="M174" s="105">
        <f>SUM(N174,P174)</f>
        <v>0</v>
      </c>
      <c r="N174" s="106"/>
      <c r="O174" s="107"/>
      <c r="P174" s="108"/>
      <c r="Q174" s="105">
        <f>SUM(R174,T174)</f>
        <v>0</v>
      </c>
      <c r="R174" s="106"/>
      <c r="S174" s="107"/>
      <c r="T174" s="108"/>
      <c r="U174" s="105">
        <f t="shared" ref="U174:U176" si="1842">SUM(V174,X174)</f>
        <v>7.5709999999999997</v>
      </c>
      <c r="V174" s="106">
        <f t="shared" ref="V174:V176" si="1843">F174+N174</f>
        <v>7.5709999999999997</v>
      </c>
      <c r="W174" s="107">
        <f t="shared" ref="W174:W176" si="1844">G174+O174</f>
        <v>0</v>
      </c>
      <c r="X174" s="108">
        <f t="shared" ref="X174:X176" si="1845">H174+P174</f>
        <v>0</v>
      </c>
      <c r="Y174" s="105">
        <f t="shared" ref="Y174:Y176" si="1846">SUM(Z174,AB174)</f>
        <v>0.27100000000000002</v>
      </c>
      <c r="Z174" s="106">
        <f t="shared" ref="Z174:Z176" si="1847">J174+R174</f>
        <v>0.27100000000000002</v>
      </c>
      <c r="AA174" s="107">
        <f t="shared" ref="AA174:AA176" si="1848">K174+S174</f>
        <v>0</v>
      </c>
      <c r="AB174" s="108">
        <f t="shared" ref="AB174:AB176" si="1849">L174+T174</f>
        <v>0</v>
      </c>
      <c r="AC174" s="105">
        <f>SUM(AD174,AF174)</f>
        <v>0</v>
      </c>
      <c r="AD174" s="106"/>
      <c r="AE174" s="107"/>
      <c r="AF174" s="108"/>
      <c r="AG174" s="105">
        <f>SUM(AH174,AJ174)</f>
        <v>0</v>
      </c>
      <c r="AH174" s="106"/>
      <c r="AI174" s="107"/>
      <c r="AJ174" s="108"/>
      <c r="AK174" s="105">
        <f t="shared" si="1786"/>
        <v>7.5709999999999997</v>
      </c>
      <c r="AL174" s="106">
        <f t="shared" si="1787"/>
        <v>7.5709999999999997</v>
      </c>
      <c r="AM174" s="107">
        <f t="shared" si="1788"/>
        <v>0</v>
      </c>
      <c r="AN174" s="108">
        <f t="shared" si="1789"/>
        <v>0</v>
      </c>
      <c r="AO174" s="105">
        <f t="shared" si="1790"/>
        <v>0.27100000000000002</v>
      </c>
      <c r="AP174" s="106">
        <f t="shared" si="1791"/>
        <v>0.27100000000000002</v>
      </c>
      <c r="AQ174" s="107">
        <f t="shared" si="1792"/>
        <v>0</v>
      </c>
      <c r="AR174" s="108">
        <f t="shared" si="1793"/>
        <v>0</v>
      </c>
      <c r="AS174" s="105">
        <f>SUM(AT174,AV174)</f>
        <v>0</v>
      </c>
      <c r="AT174" s="106"/>
      <c r="AU174" s="107"/>
      <c r="AV174" s="108"/>
      <c r="AW174" s="105">
        <f>SUM(AX174,AZ174)</f>
        <v>0</v>
      </c>
      <c r="AX174" s="106"/>
      <c r="AY174" s="107"/>
      <c r="AZ174" s="108"/>
      <c r="BA174" s="105">
        <f t="shared" si="1794"/>
        <v>7.5709999999999997</v>
      </c>
      <c r="BB174" s="106">
        <f t="shared" si="1795"/>
        <v>7.5709999999999997</v>
      </c>
      <c r="BC174" s="107">
        <f t="shared" si="1796"/>
        <v>0</v>
      </c>
      <c r="BD174" s="108">
        <f t="shared" si="1797"/>
        <v>0</v>
      </c>
      <c r="BE174" s="105">
        <f t="shared" si="1798"/>
        <v>0.27100000000000002</v>
      </c>
      <c r="BF174" s="106">
        <f t="shared" si="1799"/>
        <v>0.27100000000000002</v>
      </c>
      <c r="BG174" s="107">
        <f t="shared" si="1800"/>
        <v>0</v>
      </c>
      <c r="BH174" s="108">
        <f t="shared" si="1801"/>
        <v>0</v>
      </c>
      <c r="BI174" s="105">
        <f>SUM(BJ174,BL174)</f>
        <v>0</v>
      </c>
      <c r="BJ174" s="106"/>
      <c r="BK174" s="107"/>
      <c r="BL174" s="108"/>
      <c r="BM174" s="105">
        <f>SUM(BN174,BP174)</f>
        <v>0</v>
      </c>
      <c r="BN174" s="106"/>
      <c r="BO174" s="107"/>
      <c r="BP174" s="108"/>
      <c r="BQ174" s="105">
        <f t="shared" si="1802"/>
        <v>7.5709999999999997</v>
      </c>
      <c r="BR174" s="106">
        <f t="shared" si="1803"/>
        <v>7.5709999999999997</v>
      </c>
      <c r="BS174" s="107">
        <f t="shared" si="1804"/>
        <v>0</v>
      </c>
      <c r="BT174" s="108">
        <f t="shared" si="1805"/>
        <v>0</v>
      </c>
      <c r="BU174" s="105">
        <f t="shared" si="1806"/>
        <v>0.27100000000000002</v>
      </c>
      <c r="BV174" s="106">
        <f t="shared" si="1807"/>
        <v>0.27100000000000002</v>
      </c>
      <c r="BW174" s="107">
        <f t="shared" si="1808"/>
        <v>0</v>
      </c>
      <c r="BX174" s="108">
        <f t="shared" si="1809"/>
        <v>0</v>
      </c>
      <c r="BY174" s="164">
        <f>SUM(BZ174,CB174)</f>
        <v>1.3</v>
      </c>
      <c r="BZ174" s="147">
        <v>1.3</v>
      </c>
      <c r="CA174" s="161"/>
      <c r="CB174" s="162"/>
      <c r="CC174" s="164">
        <f>SUM(CD174,CF174)</f>
        <v>0</v>
      </c>
      <c r="CD174" s="147"/>
      <c r="CE174" s="161"/>
      <c r="CF174" s="162"/>
      <c r="CG174" s="105">
        <f t="shared" si="1810"/>
        <v>8.8710000000000004</v>
      </c>
      <c r="CH174" s="106">
        <f t="shared" si="1811"/>
        <v>8.8710000000000004</v>
      </c>
      <c r="CI174" s="107">
        <f t="shared" si="1812"/>
        <v>0</v>
      </c>
      <c r="CJ174" s="108">
        <f t="shared" si="1813"/>
        <v>0</v>
      </c>
      <c r="CK174" s="105">
        <f t="shared" si="1814"/>
        <v>0.27100000000000002</v>
      </c>
      <c r="CL174" s="106">
        <f t="shared" si="1815"/>
        <v>0.27100000000000002</v>
      </c>
      <c r="CM174" s="107">
        <f t="shared" si="1816"/>
        <v>0</v>
      </c>
      <c r="CN174" s="108">
        <f t="shared" si="1817"/>
        <v>0</v>
      </c>
      <c r="CO174" s="164">
        <f>SUM(CP174,CR174)</f>
        <v>0</v>
      </c>
      <c r="CP174" s="147"/>
      <c r="CQ174" s="161"/>
      <c r="CR174" s="162"/>
      <c r="CS174" s="164">
        <f>SUM(CT174,CV174)</f>
        <v>0</v>
      </c>
      <c r="CT174" s="147"/>
      <c r="CU174" s="161"/>
      <c r="CV174" s="162"/>
      <c r="CW174" s="105">
        <f t="shared" si="1818"/>
        <v>8.8710000000000004</v>
      </c>
      <c r="CX174" s="106">
        <f t="shared" si="1819"/>
        <v>8.8710000000000004</v>
      </c>
      <c r="CY174" s="107">
        <f t="shared" si="1820"/>
        <v>0</v>
      </c>
      <c r="CZ174" s="108">
        <f t="shared" si="1821"/>
        <v>0</v>
      </c>
      <c r="DA174" s="105">
        <f t="shared" si="1822"/>
        <v>0.27100000000000002</v>
      </c>
      <c r="DB174" s="106">
        <f t="shared" si="1823"/>
        <v>0.27100000000000002</v>
      </c>
      <c r="DC174" s="107">
        <f t="shared" si="1824"/>
        <v>0</v>
      </c>
      <c r="DD174" s="108">
        <f t="shared" si="1825"/>
        <v>0</v>
      </c>
      <c r="DE174" s="164">
        <f>SUM(DF174,DH174)</f>
        <v>0</v>
      </c>
      <c r="DF174" s="147"/>
      <c r="DG174" s="161"/>
      <c r="DH174" s="162"/>
      <c r="DI174" s="164">
        <f>SUM(DJ174,DL174)</f>
        <v>0</v>
      </c>
      <c r="DJ174" s="147"/>
      <c r="DK174" s="161"/>
      <c r="DL174" s="162"/>
      <c r="DM174" s="105">
        <f t="shared" si="1826"/>
        <v>8.8710000000000004</v>
      </c>
      <c r="DN174" s="106">
        <f t="shared" si="1827"/>
        <v>8.8710000000000004</v>
      </c>
      <c r="DO174" s="107">
        <f t="shared" si="1828"/>
        <v>0</v>
      </c>
      <c r="DP174" s="108">
        <f t="shared" si="1829"/>
        <v>0</v>
      </c>
      <c r="DQ174" s="105">
        <f t="shared" si="1830"/>
        <v>0.27100000000000002</v>
      </c>
      <c r="DR174" s="106">
        <f t="shared" si="1831"/>
        <v>0.27100000000000002</v>
      </c>
      <c r="DS174" s="107">
        <f t="shared" si="1832"/>
        <v>0</v>
      </c>
      <c r="DT174" s="108">
        <f t="shared" si="1833"/>
        <v>0</v>
      </c>
      <c r="DU174" s="164">
        <f>SUM(DV174,DX174)</f>
        <v>0.8</v>
      </c>
      <c r="DV174" s="147">
        <v>0.8</v>
      </c>
      <c r="DW174" s="161"/>
      <c r="DX174" s="162"/>
      <c r="DY174" s="164">
        <f>SUM(DZ174,EB174)</f>
        <v>0</v>
      </c>
      <c r="DZ174" s="147"/>
      <c r="EA174" s="161"/>
      <c r="EB174" s="162"/>
      <c r="EC174" s="105">
        <f t="shared" si="1834"/>
        <v>9.6710000000000012</v>
      </c>
      <c r="ED174" s="106">
        <f t="shared" si="1835"/>
        <v>9.6710000000000012</v>
      </c>
      <c r="EE174" s="107">
        <f t="shared" si="1836"/>
        <v>0</v>
      </c>
      <c r="EF174" s="108">
        <f t="shared" si="1837"/>
        <v>0</v>
      </c>
      <c r="EG174" s="105">
        <f t="shared" si="1838"/>
        <v>0.27100000000000002</v>
      </c>
      <c r="EH174" s="106">
        <f t="shared" si="1839"/>
        <v>0.27100000000000002</v>
      </c>
      <c r="EI174" s="107">
        <f t="shared" si="1840"/>
        <v>0</v>
      </c>
      <c r="EJ174" s="108">
        <f t="shared" si="1841"/>
        <v>0</v>
      </c>
      <c r="EK174" s="163">
        <f t="shared" si="1402"/>
        <v>2.99</v>
      </c>
      <c r="EL174" s="163">
        <f t="shared" si="1403"/>
        <v>0.88999999999999879</v>
      </c>
      <c r="EM174" s="105">
        <f>SUM(EN174,EP174)</f>
        <v>10.561</v>
      </c>
      <c r="EN174" s="106">
        <f>ER174+10.5</f>
        <v>10.561</v>
      </c>
      <c r="EO174" s="107">
        <f>1+1.2</f>
        <v>2.2000000000000002</v>
      </c>
      <c r="EP174" s="108"/>
      <c r="EQ174" s="105">
        <f>SUM(ER174,ET174)</f>
        <v>6.0999999999999999E-2</v>
      </c>
      <c r="ER174" s="106">
        <v>6.0999999999999999E-2</v>
      </c>
      <c r="ES174" s="107"/>
      <c r="ET174" s="108"/>
    </row>
    <row r="175" spans="1:150" s="4" customFormat="1" ht="27" customHeight="1" x14ac:dyDescent="0.25">
      <c r="A175" s="42" t="s">
        <v>33</v>
      </c>
      <c r="B175" s="103" t="s">
        <v>47</v>
      </c>
      <c r="C175" s="48" t="s">
        <v>149</v>
      </c>
      <c r="D175" s="139" t="s">
        <v>37</v>
      </c>
      <c r="E175" s="105">
        <f>SUM(F175,H175)</f>
        <v>0.84</v>
      </c>
      <c r="F175" s="106">
        <v>0.84</v>
      </c>
      <c r="G175" s="107"/>
      <c r="H175" s="108"/>
      <c r="I175" s="105">
        <f>SUM(J175,L175)</f>
        <v>0</v>
      </c>
      <c r="J175" s="106"/>
      <c r="K175" s="107"/>
      <c r="L175" s="108"/>
      <c r="M175" s="105">
        <f>SUM(N175,P175)</f>
        <v>0</v>
      </c>
      <c r="N175" s="106"/>
      <c r="O175" s="107"/>
      <c r="P175" s="108"/>
      <c r="Q175" s="105">
        <f>SUM(R175,T175)</f>
        <v>0</v>
      </c>
      <c r="R175" s="106"/>
      <c r="S175" s="107"/>
      <c r="T175" s="108"/>
      <c r="U175" s="105">
        <f t="shared" si="1842"/>
        <v>0.84</v>
      </c>
      <c r="V175" s="106">
        <f t="shared" si="1843"/>
        <v>0.84</v>
      </c>
      <c r="W175" s="107">
        <f t="shared" si="1844"/>
        <v>0</v>
      </c>
      <c r="X175" s="108">
        <f t="shared" si="1845"/>
        <v>0</v>
      </c>
      <c r="Y175" s="105">
        <f t="shared" si="1846"/>
        <v>0</v>
      </c>
      <c r="Z175" s="106">
        <f t="shared" si="1847"/>
        <v>0</v>
      </c>
      <c r="AA175" s="107">
        <f t="shared" si="1848"/>
        <v>0</v>
      </c>
      <c r="AB175" s="108">
        <f t="shared" si="1849"/>
        <v>0</v>
      </c>
      <c r="AC175" s="105">
        <f>SUM(AD175,AF175)</f>
        <v>0</v>
      </c>
      <c r="AD175" s="106"/>
      <c r="AE175" s="107"/>
      <c r="AF175" s="108"/>
      <c r="AG175" s="105">
        <f>SUM(AH175,AJ175)</f>
        <v>0</v>
      </c>
      <c r="AH175" s="106"/>
      <c r="AI175" s="107"/>
      <c r="AJ175" s="108"/>
      <c r="AK175" s="105">
        <f t="shared" si="1786"/>
        <v>0.84</v>
      </c>
      <c r="AL175" s="106">
        <f t="shared" si="1787"/>
        <v>0.84</v>
      </c>
      <c r="AM175" s="107">
        <f t="shared" si="1788"/>
        <v>0</v>
      </c>
      <c r="AN175" s="108">
        <f t="shared" si="1789"/>
        <v>0</v>
      </c>
      <c r="AO175" s="105">
        <f t="shared" si="1790"/>
        <v>0</v>
      </c>
      <c r="AP175" s="106">
        <f t="shared" si="1791"/>
        <v>0</v>
      </c>
      <c r="AQ175" s="107">
        <f t="shared" si="1792"/>
        <v>0</v>
      </c>
      <c r="AR175" s="108">
        <f t="shared" si="1793"/>
        <v>0</v>
      </c>
      <c r="AS175" s="105">
        <f>SUM(AT175,AV175)</f>
        <v>0</v>
      </c>
      <c r="AT175" s="106"/>
      <c r="AU175" s="107"/>
      <c r="AV175" s="108"/>
      <c r="AW175" s="105">
        <f>SUM(AX175,AZ175)</f>
        <v>0</v>
      </c>
      <c r="AX175" s="106"/>
      <c r="AY175" s="107"/>
      <c r="AZ175" s="108"/>
      <c r="BA175" s="105">
        <f t="shared" si="1794"/>
        <v>0.84</v>
      </c>
      <c r="BB175" s="106">
        <f t="shared" si="1795"/>
        <v>0.84</v>
      </c>
      <c r="BC175" s="107">
        <f t="shared" si="1796"/>
        <v>0</v>
      </c>
      <c r="BD175" s="108">
        <f t="shared" si="1797"/>
        <v>0</v>
      </c>
      <c r="BE175" s="105">
        <f t="shared" si="1798"/>
        <v>0</v>
      </c>
      <c r="BF175" s="106">
        <f t="shared" si="1799"/>
        <v>0</v>
      </c>
      <c r="BG175" s="107">
        <f t="shared" si="1800"/>
        <v>0</v>
      </c>
      <c r="BH175" s="108">
        <f t="shared" si="1801"/>
        <v>0</v>
      </c>
      <c r="BI175" s="105">
        <f>SUM(BJ175,BL175)</f>
        <v>0</v>
      </c>
      <c r="BJ175" s="106"/>
      <c r="BK175" s="107"/>
      <c r="BL175" s="108"/>
      <c r="BM175" s="105">
        <f>SUM(BN175,BP175)</f>
        <v>0</v>
      </c>
      <c r="BN175" s="106"/>
      <c r="BO175" s="107"/>
      <c r="BP175" s="108"/>
      <c r="BQ175" s="105">
        <f t="shared" si="1802"/>
        <v>0.84</v>
      </c>
      <c r="BR175" s="106">
        <f t="shared" si="1803"/>
        <v>0.84</v>
      </c>
      <c r="BS175" s="107">
        <f t="shared" si="1804"/>
        <v>0</v>
      </c>
      <c r="BT175" s="108">
        <f t="shared" si="1805"/>
        <v>0</v>
      </c>
      <c r="BU175" s="105">
        <f t="shared" si="1806"/>
        <v>0</v>
      </c>
      <c r="BV175" s="106">
        <f t="shared" si="1807"/>
        <v>0</v>
      </c>
      <c r="BW175" s="107">
        <f t="shared" si="1808"/>
        <v>0</v>
      </c>
      <c r="BX175" s="108">
        <f t="shared" si="1809"/>
        <v>0</v>
      </c>
      <c r="BY175" s="164">
        <f>SUM(BZ175,CB175)</f>
        <v>0</v>
      </c>
      <c r="BZ175" s="147"/>
      <c r="CA175" s="161"/>
      <c r="CB175" s="162"/>
      <c r="CC175" s="164">
        <f>SUM(CD175,CF175)</f>
        <v>0</v>
      </c>
      <c r="CD175" s="147"/>
      <c r="CE175" s="161"/>
      <c r="CF175" s="162"/>
      <c r="CG175" s="105">
        <f t="shared" si="1810"/>
        <v>0.84</v>
      </c>
      <c r="CH175" s="106">
        <f t="shared" si="1811"/>
        <v>0.84</v>
      </c>
      <c r="CI175" s="107">
        <f t="shared" si="1812"/>
        <v>0</v>
      </c>
      <c r="CJ175" s="108">
        <f t="shared" si="1813"/>
        <v>0</v>
      </c>
      <c r="CK175" s="105">
        <f t="shared" si="1814"/>
        <v>0</v>
      </c>
      <c r="CL175" s="106">
        <f t="shared" si="1815"/>
        <v>0</v>
      </c>
      <c r="CM175" s="107">
        <f t="shared" si="1816"/>
        <v>0</v>
      </c>
      <c r="CN175" s="108">
        <f t="shared" si="1817"/>
        <v>0</v>
      </c>
      <c r="CO175" s="164">
        <f>SUM(CP175,CR175)</f>
        <v>0</v>
      </c>
      <c r="CP175" s="147"/>
      <c r="CQ175" s="161"/>
      <c r="CR175" s="162"/>
      <c r="CS175" s="164">
        <f>SUM(CT175,CV175)</f>
        <v>0</v>
      </c>
      <c r="CT175" s="147"/>
      <c r="CU175" s="161"/>
      <c r="CV175" s="162"/>
      <c r="CW175" s="105">
        <f t="shared" si="1818"/>
        <v>0.84</v>
      </c>
      <c r="CX175" s="106">
        <f t="shared" si="1819"/>
        <v>0.84</v>
      </c>
      <c r="CY175" s="107">
        <f t="shared" si="1820"/>
        <v>0</v>
      </c>
      <c r="CZ175" s="108">
        <f t="shared" si="1821"/>
        <v>0</v>
      </c>
      <c r="DA175" s="105">
        <f t="shared" si="1822"/>
        <v>0</v>
      </c>
      <c r="DB175" s="106">
        <f t="shared" si="1823"/>
        <v>0</v>
      </c>
      <c r="DC175" s="107">
        <f t="shared" si="1824"/>
        <v>0</v>
      </c>
      <c r="DD175" s="108">
        <f t="shared" si="1825"/>
        <v>0</v>
      </c>
      <c r="DE175" s="164">
        <f>SUM(DF175,DH175)</f>
        <v>0</v>
      </c>
      <c r="DF175" s="147"/>
      <c r="DG175" s="161"/>
      <c r="DH175" s="162"/>
      <c r="DI175" s="164">
        <f>SUM(DJ175,DL175)</f>
        <v>0</v>
      </c>
      <c r="DJ175" s="147"/>
      <c r="DK175" s="161"/>
      <c r="DL175" s="162"/>
      <c r="DM175" s="105">
        <f t="shared" si="1826"/>
        <v>0.84</v>
      </c>
      <c r="DN175" s="106">
        <f t="shared" si="1827"/>
        <v>0.84</v>
      </c>
      <c r="DO175" s="107">
        <f t="shared" si="1828"/>
        <v>0</v>
      </c>
      <c r="DP175" s="108">
        <f t="shared" si="1829"/>
        <v>0</v>
      </c>
      <c r="DQ175" s="105">
        <f t="shared" si="1830"/>
        <v>0</v>
      </c>
      <c r="DR175" s="106">
        <f t="shared" si="1831"/>
        <v>0</v>
      </c>
      <c r="DS175" s="107">
        <f t="shared" si="1832"/>
        <v>0</v>
      </c>
      <c r="DT175" s="108">
        <f t="shared" si="1833"/>
        <v>0</v>
      </c>
      <c r="DU175" s="164">
        <f>SUM(DV175,DX175)</f>
        <v>0</v>
      </c>
      <c r="DV175" s="147"/>
      <c r="DW175" s="161"/>
      <c r="DX175" s="162"/>
      <c r="DY175" s="164">
        <f>SUM(DZ175,EB175)</f>
        <v>0</v>
      </c>
      <c r="DZ175" s="147"/>
      <c r="EA175" s="161"/>
      <c r="EB175" s="162"/>
      <c r="EC175" s="105">
        <f t="shared" si="1834"/>
        <v>0.84</v>
      </c>
      <c r="ED175" s="106">
        <f t="shared" si="1835"/>
        <v>0.84</v>
      </c>
      <c r="EE175" s="107">
        <f t="shared" si="1836"/>
        <v>0</v>
      </c>
      <c r="EF175" s="108">
        <f t="shared" si="1837"/>
        <v>0</v>
      </c>
      <c r="EG175" s="105">
        <f t="shared" si="1838"/>
        <v>0</v>
      </c>
      <c r="EH175" s="106">
        <f t="shared" si="1839"/>
        <v>0</v>
      </c>
      <c r="EI175" s="107">
        <f t="shared" si="1840"/>
        <v>0</v>
      </c>
      <c r="EJ175" s="108">
        <f t="shared" si="1841"/>
        <v>0</v>
      </c>
      <c r="EK175" s="154">
        <f t="shared" si="1402"/>
        <v>-0.27999999999999992</v>
      </c>
      <c r="EL175" s="154">
        <f t="shared" si="1403"/>
        <v>-0.27999999999999992</v>
      </c>
      <c r="EM175" s="105">
        <f>SUM(EN175,EP175)</f>
        <v>0.56000000000000005</v>
      </c>
      <c r="EN175" s="106">
        <v>0.56000000000000005</v>
      </c>
      <c r="EO175" s="107"/>
      <c r="EP175" s="108"/>
      <c r="EQ175" s="105">
        <f>SUM(ER175,ET175)</f>
        <v>0</v>
      </c>
      <c r="ER175" s="106"/>
      <c r="ES175" s="107"/>
      <c r="ET175" s="108"/>
    </row>
    <row r="176" spans="1:150" s="4" customFormat="1" ht="27" customHeight="1" x14ac:dyDescent="0.3">
      <c r="A176" s="58" t="s">
        <v>7</v>
      </c>
      <c r="B176" s="55" t="s">
        <v>49</v>
      </c>
      <c r="C176" s="48" t="s">
        <v>159</v>
      </c>
      <c r="D176" s="95" t="s">
        <v>37</v>
      </c>
      <c r="E176" s="105">
        <f>SUM(F176,H176)</f>
        <v>10</v>
      </c>
      <c r="F176" s="106">
        <f>J176</f>
        <v>10</v>
      </c>
      <c r="G176" s="107"/>
      <c r="H176" s="108"/>
      <c r="I176" s="105">
        <f>SUM(J176,L176)</f>
        <v>10</v>
      </c>
      <c r="J176" s="106">
        <v>10</v>
      </c>
      <c r="K176" s="107"/>
      <c r="L176" s="108"/>
      <c r="M176" s="105">
        <f>SUM(N176,P176)</f>
        <v>0</v>
      </c>
      <c r="N176" s="106"/>
      <c r="O176" s="107"/>
      <c r="P176" s="108"/>
      <c r="Q176" s="105">
        <f>SUM(R176,T176)</f>
        <v>0</v>
      </c>
      <c r="R176" s="106"/>
      <c r="S176" s="107"/>
      <c r="T176" s="108"/>
      <c r="U176" s="105">
        <f t="shared" si="1842"/>
        <v>10</v>
      </c>
      <c r="V176" s="106">
        <f t="shared" si="1843"/>
        <v>10</v>
      </c>
      <c r="W176" s="107">
        <f t="shared" si="1844"/>
        <v>0</v>
      </c>
      <c r="X176" s="108">
        <f t="shared" si="1845"/>
        <v>0</v>
      </c>
      <c r="Y176" s="105">
        <f t="shared" si="1846"/>
        <v>10</v>
      </c>
      <c r="Z176" s="106">
        <f t="shared" si="1847"/>
        <v>10</v>
      </c>
      <c r="AA176" s="107">
        <f t="shared" si="1848"/>
        <v>0</v>
      </c>
      <c r="AB176" s="108">
        <f t="shared" si="1849"/>
        <v>0</v>
      </c>
      <c r="AC176" s="105">
        <f>SUM(AD176,AF176)</f>
        <v>0</v>
      </c>
      <c r="AD176" s="106"/>
      <c r="AE176" s="107"/>
      <c r="AF176" s="108"/>
      <c r="AG176" s="105">
        <f>SUM(AH176,AJ176)</f>
        <v>0</v>
      </c>
      <c r="AH176" s="106"/>
      <c r="AI176" s="107"/>
      <c r="AJ176" s="108"/>
      <c r="AK176" s="105">
        <f t="shared" si="1786"/>
        <v>10</v>
      </c>
      <c r="AL176" s="106">
        <f t="shared" si="1787"/>
        <v>10</v>
      </c>
      <c r="AM176" s="107">
        <f t="shared" si="1788"/>
        <v>0</v>
      </c>
      <c r="AN176" s="108">
        <f t="shared" si="1789"/>
        <v>0</v>
      </c>
      <c r="AO176" s="105">
        <f t="shared" si="1790"/>
        <v>10</v>
      </c>
      <c r="AP176" s="106">
        <f t="shared" si="1791"/>
        <v>10</v>
      </c>
      <c r="AQ176" s="107">
        <f t="shared" si="1792"/>
        <v>0</v>
      </c>
      <c r="AR176" s="108">
        <f t="shared" si="1793"/>
        <v>0</v>
      </c>
      <c r="AS176" s="105">
        <f>SUM(AT176,AV176)</f>
        <v>0</v>
      </c>
      <c r="AT176" s="106"/>
      <c r="AU176" s="107"/>
      <c r="AV176" s="108"/>
      <c r="AW176" s="105">
        <f>SUM(AX176,AZ176)</f>
        <v>0</v>
      </c>
      <c r="AX176" s="106"/>
      <c r="AY176" s="107"/>
      <c r="AZ176" s="108"/>
      <c r="BA176" s="105">
        <f t="shared" si="1794"/>
        <v>10</v>
      </c>
      <c r="BB176" s="106">
        <f t="shared" si="1795"/>
        <v>10</v>
      </c>
      <c r="BC176" s="107">
        <f t="shared" si="1796"/>
        <v>0</v>
      </c>
      <c r="BD176" s="108">
        <f t="shared" si="1797"/>
        <v>0</v>
      </c>
      <c r="BE176" s="105">
        <f t="shared" si="1798"/>
        <v>10</v>
      </c>
      <c r="BF176" s="106">
        <f t="shared" si="1799"/>
        <v>10</v>
      </c>
      <c r="BG176" s="107">
        <f t="shared" si="1800"/>
        <v>0</v>
      </c>
      <c r="BH176" s="108">
        <f t="shared" si="1801"/>
        <v>0</v>
      </c>
      <c r="BI176" s="105">
        <f>SUM(BJ176,BL176)</f>
        <v>0</v>
      </c>
      <c r="BJ176" s="106"/>
      <c r="BK176" s="107"/>
      <c r="BL176" s="108"/>
      <c r="BM176" s="105">
        <f>SUM(BN176,BP176)</f>
        <v>0</v>
      </c>
      <c r="BN176" s="106"/>
      <c r="BO176" s="107"/>
      <c r="BP176" s="108"/>
      <c r="BQ176" s="105">
        <f t="shared" si="1802"/>
        <v>10</v>
      </c>
      <c r="BR176" s="106">
        <f t="shared" si="1803"/>
        <v>10</v>
      </c>
      <c r="BS176" s="107">
        <f t="shared" si="1804"/>
        <v>0</v>
      </c>
      <c r="BT176" s="108">
        <f t="shared" si="1805"/>
        <v>0</v>
      </c>
      <c r="BU176" s="105">
        <f t="shared" si="1806"/>
        <v>10</v>
      </c>
      <c r="BV176" s="106">
        <f t="shared" si="1807"/>
        <v>10</v>
      </c>
      <c r="BW176" s="107">
        <f t="shared" si="1808"/>
        <v>0</v>
      </c>
      <c r="BX176" s="108">
        <f t="shared" si="1809"/>
        <v>0</v>
      </c>
      <c r="BY176" s="164">
        <f>SUM(BZ176,CB176)</f>
        <v>9.1880000000000006</v>
      </c>
      <c r="BZ176" s="147">
        <v>2.988</v>
      </c>
      <c r="CA176" s="161"/>
      <c r="CB176" s="162">
        <v>6.2</v>
      </c>
      <c r="CC176" s="164">
        <f>SUM(CD176,CF176)</f>
        <v>0</v>
      </c>
      <c r="CD176" s="147"/>
      <c r="CE176" s="161"/>
      <c r="CF176" s="162"/>
      <c r="CG176" s="105">
        <f t="shared" si="1810"/>
        <v>19.187999999999999</v>
      </c>
      <c r="CH176" s="106">
        <f t="shared" si="1811"/>
        <v>12.988</v>
      </c>
      <c r="CI176" s="107">
        <f t="shared" si="1812"/>
        <v>0</v>
      </c>
      <c r="CJ176" s="108">
        <f t="shared" si="1813"/>
        <v>6.2</v>
      </c>
      <c r="CK176" s="105">
        <f t="shared" si="1814"/>
        <v>10</v>
      </c>
      <c r="CL176" s="106">
        <f t="shared" si="1815"/>
        <v>10</v>
      </c>
      <c r="CM176" s="107">
        <f t="shared" si="1816"/>
        <v>0</v>
      </c>
      <c r="CN176" s="108">
        <f t="shared" si="1817"/>
        <v>0</v>
      </c>
      <c r="CO176" s="164">
        <f>SUM(CP176,CR176)</f>
        <v>0</v>
      </c>
      <c r="CP176" s="147"/>
      <c r="CQ176" s="161"/>
      <c r="CR176" s="162"/>
      <c r="CS176" s="164">
        <f>SUM(CT176,CV176)</f>
        <v>0</v>
      </c>
      <c r="CT176" s="147"/>
      <c r="CU176" s="161"/>
      <c r="CV176" s="162"/>
      <c r="CW176" s="105">
        <f t="shared" si="1818"/>
        <v>19.187999999999999</v>
      </c>
      <c r="CX176" s="106">
        <f t="shared" si="1819"/>
        <v>12.988</v>
      </c>
      <c r="CY176" s="107">
        <f t="shared" si="1820"/>
        <v>0</v>
      </c>
      <c r="CZ176" s="108">
        <f t="shared" si="1821"/>
        <v>6.2</v>
      </c>
      <c r="DA176" s="105">
        <f t="shared" si="1822"/>
        <v>10</v>
      </c>
      <c r="DB176" s="106">
        <f t="shared" si="1823"/>
        <v>10</v>
      </c>
      <c r="DC176" s="107">
        <f t="shared" si="1824"/>
        <v>0</v>
      </c>
      <c r="DD176" s="108">
        <f t="shared" si="1825"/>
        <v>0</v>
      </c>
      <c r="DE176" s="164">
        <f>SUM(DF176,DH176)</f>
        <v>0</v>
      </c>
      <c r="DF176" s="147"/>
      <c r="DG176" s="161"/>
      <c r="DH176" s="162"/>
      <c r="DI176" s="164">
        <f>SUM(DJ176,DL176)</f>
        <v>0</v>
      </c>
      <c r="DJ176" s="147"/>
      <c r="DK176" s="161"/>
      <c r="DL176" s="162"/>
      <c r="DM176" s="105">
        <f t="shared" si="1826"/>
        <v>19.187999999999999</v>
      </c>
      <c r="DN176" s="106">
        <f t="shared" si="1827"/>
        <v>12.988</v>
      </c>
      <c r="DO176" s="107">
        <f t="shared" si="1828"/>
        <v>0</v>
      </c>
      <c r="DP176" s="108">
        <f t="shared" si="1829"/>
        <v>6.2</v>
      </c>
      <c r="DQ176" s="105">
        <f t="shared" si="1830"/>
        <v>10</v>
      </c>
      <c r="DR176" s="106">
        <f t="shared" si="1831"/>
        <v>10</v>
      </c>
      <c r="DS176" s="107">
        <f t="shared" si="1832"/>
        <v>0</v>
      </c>
      <c r="DT176" s="108">
        <f t="shared" si="1833"/>
        <v>0</v>
      </c>
      <c r="DU176" s="164">
        <f>SUM(DV176,DX176)</f>
        <v>0</v>
      </c>
      <c r="DV176" s="147"/>
      <c r="DW176" s="161"/>
      <c r="DX176" s="162"/>
      <c r="DY176" s="164">
        <f>SUM(DZ176,EB176)</f>
        <v>0</v>
      </c>
      <c r="DZ176" s="147"/>
      <c r="EA176" s="161"/>
      <c r="EB176" s="162"/>
      <c r="EC176" s="105">
        <f t="shared" si="1834"/>
        <v>19.187999999999999</v>
      </c>
      <c r="ED176" s="106">
        <f t="shared" si="1835"/>
        <v>12.988</v>
      </c>
      <c r="EE176" s="107">
        <f t="shared" si="1836"/>
        <v>0</v>
      </c>
      <c r="EF176" s="108">
        <f t="shared" si="1837"/>
        <v>6.2</v>
      </c>
      <c r="EG176" s="105">
        <f t="shared" si="1838"/>
        <v>10</v>
      </c>
      <c r="EH176" s="106">
        <f t="shared" si="1839"/>
        <v>10</v>
      </c>
      <c r="EI176" s="107">
        <f t="shared" si="1840"/>
        <v>0</v>
      </c>
      <c r="EJ176" s="108">
        <f t="shared" si="1841"/>
        <v>0</v>
      </c>
      <c r="EK176" s="154">
        <f t="shared" si="1402"/>
        <v>-10</v>
      </c>
      <c r="EL176" s="154">
        <f t="shared" si="1403"/>
        <v>-19.187999999999999</v>
      </c>
      <c r="EM176" s="105">
        <f>SUM(EN176,EP176)</f>
        <v>0</v>
      </c>
      <c r="EN176" s="106">
        <f>ER176</f>
        <v>0</v>
      </c>
      <c r="EO176" s="107"/>
      <c r="EP176" s="108"/>
      <c r="EQ176" s="105">
        <f>SUM(ER176,ET176)</f>
        <v>0</v>
      </c>
      <c r="ER176" s="106"/>
      <c r="ES176" s="107"/>
      <c r="ET176" s="108"/>
    </row>
    <row r="177" spans="1:150" ht="26.4" customHeight="1" x14ac:dyDescent="0.3">
      <c r="A177" s="46"/>
      <c r="B177" s="33" t="s">
        <v>3</v>
      </c>
      <c r="C177" s="47" t="s">
        <v>114</v>
      </c>
      <c r="D177" s="94"/>
      <c r="E177" s="148">
        <f>SUM(F177,H177)</f>
        <v>4</v>
      </c>
      <c r="F177" s="149">
        <f>F179</f>
        <v>4</v>
      </c>
      <c r="G177" s="150">
        <f>SUM(G179)</f>
        <v>0</v>
      </c>
      <c r="H177" s="151">
        <f>H179</f>
        <v>0</v>
      </c>
      <c r="I177" s="148">
        <f>SUM(J177,L177)</f>
        <v>0</v>
      </c>
      <c r="J177" s="149">
        <f>SUM(J179)</f>
        <v>0</v>
      </c>
      <c r="K177" s="150">
        <f>SUM(K179)</f>
        <v>0</v>
      </c>
      <c r="L177" s="151">
        <f>L179</f>
        <v>0</v>
      </c>
      <c r="M177" s="148">
        <f>SUM(N177,P177)</f>
        <v>0</v>
      </c>
      <c r="N177" s="149">
        <f>N179</f>
        <v>0</v>
      </c>
      <c r="O177" s="150">
        <f>SUM(O179)</f>
        <v>0</v>
      </c>
      <c r="P177" s="151">
        <f>P179</f>
        <v>0</v>
      </c>
      <c r="Q177" s="148">
        <f>SUM(R177,T177)</f>
        <v>0</v>
      </c>
      <c r="R177" s="149">
        <f>SUM(R179)</f>
        <v>0</v>
      </c>
      <c r="S177" s="150">
        <f>SUM(S179)</f>
        <v>0</v>
      </c>
      <c r="T177" s="151">
        <f>T179</f>
        <v>0</v>
      </c>
      <c r="U177" s="148">
        <f>SUM(V177,X177)</f>
        <v>4</v>
      </c>
      <c r="V177" s="149">
        <f>V179</f>
        <v>4</v>
      </c>
      <c r="W177" s="150">
        <f>SUM(W179)</f>
        <v>0</v>
      </c>
      <c r="X177" s="151">
        <f>X179</f>
        <v>0</v>
      </c>
      <c r="Y177" s="148">
        <f>SUM(Z177,AB177)</f>
        <v>0</v>
      </c>
      <c r="Z177" s="149">
        <f>SUM(Z179)</f>
        <v>0</v>
      </c>
      <c r="AA177" s="150">
        <f>SUM(AA179)</f>
        <v>0</v>
      </c>
      <c r="AB177" s="151">
        <f>AB179</f>
        <v>0</v>
      </c>
      <c r="AC177" s="148">
        <f>SUM(AD177,AF177)</f>
        <v>0</v>
      </c>
      <c r="AD177" s="149">
        <f>AD179</f>
        <v>0</v>
      </c>
      <c r="AE177" s="150">
        <f>SUM(AE179)</f>
        <v>0</v>
      </c>
      <c r="AF177" s="151">
        <f>AF179</f>
        <v>0</v>
      </c>
      <c r="AG177" s="148">
        <f>SUM(AH177,AJ177)</f>
        <v>0</v>
      </c>
      <c r="AH177" s="149">
        <f>SUM(AH179)</f>
        <v>0</v>
      </c>
      <c r="AI177" s="150">
        <f>SUM(AI179)</f>
        <v>0</v>
      </c>
      <c r="AJ177" s="151">
        <f>AJ179</f>
        <v>0</v>
      </c>
      <c r="AK177" s="148">
        <f>SUM(AL177,AN177)</f>
        <v>4</v>
      </c>
      <c r="AL177" s="149">
        <f>AL179</f>
        <v>4</v>
      </c>
      <c r="AM177" s="150">
        <f>SUM(AM179)</f>
        <v>0</v>
      </c>
      <c r="AN177" s="151">
        <f>AN179</f>
        <v>0</v>
      </c>
      <c r="AO177" s="148">
        <f>SUM(AP177,AR177)</f>
        <v>0</v>
      </c>
      <c r="AP177" s="149">
        <f>SUM(AP179)</f>
        <v>0</v>
      </c>
      <c r="AQ177" s="150">
        <f>SUM(AQ179)</f>
        <v>0</v>
      </c>
      <c r="AR177" s="151">
        <f>AR179</f>
        <v>0</v>
      </c>
      <c r="AS177" s="148">
        <f>SUM(AT177,AV177)</f>
        <v>0</v>
      </c>
      <c r="AT177" s="149">
        <f>AT179</f>
        <v>0</v>
      </c>
      <c r="AU177" s="150">
        <f>SUM(AU179)</f>
        <v>0</v>
      </c>
      <c r="AV177" s="151">
        <f>AV179</f>
        <v>0</v>
      </c>
      <c r="AW177" s="148">
        <f>SUM(AX177,AZ177)</f>
        <v>0</v>
      </c>
      <c r="AX177" s="149">
        <f>SUM(AX179)</f>
        <v>0</v>
      </c>
      <c r="AY177" s="150">
        <f>SUM(AY179)</f>
        <v>0</v>
      </c>
      <c r="AZ177" s="151">
        <f>AZ179</f>
        <v>0</v>
      </c>
      <c r="BA177" s="148">
        <f>SUM(BB177,BD177)</f>
        <v>4</v>
      </c>
      <c r="BB177" s="149">
        <f>BB179</f>
        <v>4</v>
      </c>
      <c r="BC177" s="150">
        <f>SUM(BC179)</f>
        <v>0</v>
      </c>
      <c r="BD177" s="151">
        <f>BD179</f>
        <v>0</v>
      </c>
      <c r="BE177" s="148">
        <f>SUM(BF177,BH177)</f>
        <v>0</v>
      </c>
      <c r="BF177" s="149">
        <f>SUM(BF179)</f>
        <v>0</v>
      </c>
      <c r="BG177" s="150">
        <f>SUM(BG179)</f>
        <v>0</v>
      </c>
      <c r="BH177" s="151">
        <f>BH179</f>
        <v>0</v>
      </c>
      <c r="BI177" s="148">
        <f>SUM(BJ177,BL177)</f>
        <v>0</v>
      </c>
      <c r="BJ177" s="149">
        <f>BJ179</f>
        <v>0</v>
      </c>
      <c r="BK177" s="150">
        <f>SUM(BK179)</f>
        <v>0</v>
      </c>
      <c r="BL177" s="151">
        <f>BL179</f>
        <v>0</v>
      </c>
      <c r="BM177" s="148">
        <f>SUM(BN177,BP177)</f>
        <v>0</v>
      </c>
      <c r="BN177" s="149">
        <f>SUM(BN179)</f>
        <v>0</v>
      </c>
      <c r="BO177" s="150">
        <f>SUM(BO179)</f>
        <v>0</v>
      </c>
      <c r="BP177" s="151">
        <f>BP179</f>
        <v>0</v>
      </c>
      <c r="BQ177" s="148">
        <f>SUM(BR177,BT177)</f>
        <v>4</v>
      </c>
      <c r="BR177" s="149">
        <f>BR179</f>
        <v>4</v>
      </c>
      <c r="BS177" s="150">
        <f>SUM(BS179)</f>
        <v>0</v>
      </c>
      <c r="BT177" s="151">
        <f>BT179</f>
        <v>0</v>
      </c>
      <c r="BU177" s="148">
        <f>SUM(BV177,BX177)</f>
        <v>0</v>
      </c>
      <c r="BV177" s="149">
        <f>SUM(BV179)</f>
        <v>0</v>
      </c>
      <c r="BW177" s="150">
        <f>SUM(BW179)</f>
        <v>0</v>
      </c>
      <c r="BX177" s="151">
        <f>BX179</f>
        <v>0</v>
      </c>
      <c r="BY177" s="175">
        <f>SUM(BZ177,CB177)</f>
        <v>0</v>
      </c>
      <c r="BZ177" s="176">
        <f>BZ179</f>
        <v>0</v>
      </c>
      <c r="CA177" s="177">
        <f>SUM(CA179)</f>
        <v>0</v>
      </c>
      <c r="CB177" s="178">
        <f>CB179</f>
        <v>0</v>
      </c>
      <c r="CC177" s="175">
        <f>SUM(CD177,CF177)</f>
        <v>0</v>
      </c>
      <c r="CD177" s="176">
        <f>SUM(CD179)</f>
        <v>0</v>
      </c>
      <c r="CE177" s="177">
        <f>SUM(CE179)</f>
        <v>0</v>
      </c>
      <c r="CF177" s="178">
        <f>CF179</f>
        <v>0</v>
      </c>
      <c r="CG177" s="148">
        <f>SUM(CH177,CJ177)</f>
        <v>4</v>
      </c>
      <c r="CH177" s="149">
        <f>CH179</f>
        <v>4</v>
      </c>
      <c r="CI177" s="150">
        <f>SUM(CI179)</f>
        <v>0</v>
      </c>
      <c r="CJ177" s="151">
        <f>CJ179</f>
        <v>0</v>
      </c>
      <c r="CK177" s="148">
        <f>SUM(CL177,CN177)</f>
        <v>0</v>
      </c>
      <c r="CL177" s="149">
        <f>SUM(CL179)</f>
        <v>0</v>
      </c>
      <c r="CM177" s="150">
        <f>SUM(CM179)</f>
        <v>0</v>
      </c>
      <c r="CN177" s="151">
        <f>CN179</f>
        <v>0</v>
      </c>
      <c r="CO177" s="175">
        <f>SUM(CP177,CR177)</f>
        <v>0</v>
      </c>
      <c r="CP177" s="176">
        <f>CP179</f>
        <v>0</v>
      </c>
      <c r="CQ177" s="177">
        <f>SUM(CQ179)</f>
        <v>0</v>
      </c>
      <c r="CR177" s="178">
        <f>CR179</f>
        <v>0</v>
      </c>
      <c r="CS177" s="175">
        <f>SUM(CT177,CV177)</f>
        <v>0</v>
      </c>
      <c r="CT177" s="176">
        <f>SUM(CT179)</f>
        <v>0</v>
      </c>
      <c r="CU177" s="177">
        <f>SUM(CU179)</f>
        <v>0</v>
      </c>
      <c r="CV177" s="178">
        <f>CV179</f>
        <v>0</v>
      </c>
      <c r="CW177" s="148">
        <f>SUM(CX177,CZ177)</f>
        <v>4</v>
      </c>
      <c r="CX177" s="149">
        <f>CX179</f>
        <v>4</v>
      </c>
      <c r="CY177" s="150">
        <f>SUM(CY179)</f>
        <v>0</v>
      </c>
      <c r="CZ177" s="151">
        <f>CZ179</f>
        <v>0</v>
      </c>
      <c r="DA177" s="148">
        <f>SUM(DB177,DD177)</f>
        <v>0</v>
      </c>
      <c r="DB177" s="149">
        <f>SUM(DB179)</f>
        <v>0</v>
      </c>
      <c r="DC177" s="150">
        <f>SUM(DC179)</f>
        <v>0</v>
      </c>
      <c r="DD177" s="151">
        <f>DD179</f>
        <v>0</v>
      </c>
      <c r="DE177" s="175">
        <f>SUM(DF177,DH177)</f>
        <v>0</v>
      </c>
      <c r="DF177" s="176">
        <f>DF179</f>
        <v>0</v>
      </c>
      <c r="DG177" s="177">
        <f>SUM(DG179)</f>
        <v>0</v>
      </c>
      <c r="DH177" s="178">
        <f>DH179</f>
        <v>0</v>
      </c>
      <c r="DI177" s="175">
        <f>SUM(DJ177,DL177)</f>
        <v>0</v>
      </c>
      <c r="DJ177" s="176">
        <f>SUM(DJ179)</f>
        <v>0</v>
      </c>
      <c r="DK177" s="177">
        <f>SUM(DK179)</f>
        <v>0</v>
      </c>
      <c r="DL177" s="178">
        <f>DL179</f>
        <v>0</v>
      </c>
      <c r="DM177" s="148">
        <f>SUM(DN177,DP177)</f>
        <v>4</v>
      </c>
      <c r="DN177" s="149">
        <f>DN179</f>
        <v>4</v>
      </c>
      <c r="DO177" s="150">
        <f>SUM(DO179)</f>
        <v>0</v>
      </c>
      <c r="DP177" s="151">
        <f>DP179</f>
        <v>0</v>
      </c>
      <c r="DQ177" s="148">
        <f>SUM(DR177,DT177)</f>
        <v>0</v>
      </c>
      <c r="DR177" s="149">
        <f>SUM(DR179)</f>
        <v>0</v>
      </c>
      <c r="DS177" s="150">
        <f>SUM(DS179)</f>
        <v>0</v>
      </c>
      <c r="DT177" s="151">
        <f>DT179</f>
        <v>0</v>
      </c>
      <c r="DU177" s="175">
        <f>SUM(DV177,DX177)</f>
        <v>0</v>
      </c>
      <c r="DV177" s="176">
        <f>DV179</f>
        <v>0</v>
      </c>
      <c r="DW177" s="177">
        <f>SUM(DW179)</f>
        <v>0</v>
      </c>
      <c r="DX177" s="178">
        <f>DX179</f>
        <v>0</v>
      </c>
      <c r="DY177" s="175">
        <f>SUM(DZ177,EB177)</f>
        <v>0</v>
      </c>
      <c r="DZ177" s="176">
        <f>SUM(DZ179)</f>
        <v>0</v>
      </c>
      <c r="EA177" s="177">
        <f>SUM(EA179)</f>
        <v>0</v>
      </c>
      <c r="EB177" s="178">
        <f>EB179</f>
        <v>0</v>
      </c>
      <c r="EC177" s="148">
        <f>SUM(ED177,EF177)</f>
        <v>4</v>
      </c>
      <c r="ED177" s="149">
        <f>ED179</f>
        <v>4</v>
      </c>
      <c r="EE177" s="150">
        <f>SUM(EE179)</f>
        <v>0</v>
      </c>
      <c r="EF177" s="151">
        <f>EF179</f>
        <v>0</v>
      </c>
      <c r="EG177" s="148">
        <f>SUM(EH177,EJ177)</f>
        <v>0</v>
      </c>
      <c r="EH177" s="149">
        <f>SUM(EH179)</f>
        <v>0</v>
      </c>
      <c r="EI177" s="150">
        <f>SUM(EI179)</f>
        <v>0</v>
      </c>
      <c r="EJ177" s="151">
        <f>EJ179</f>
        <v>0</v>
      </c>
      <c r="EK177" s="155">
        <f t="shared" si="1402"/>
        <v>4</v>
      </c>
      <c r="EL177" s="155">
        <f t="shared" si="1403"/>
        <v>4</v>
      </c>
      <c r="EM177" s="148">
        <f>SUM(EN177,EP177)</f>
        <v>8</v>
      </c>
      <c r="EN177" s="149">
        <f>EN179</f>
        <v>8</v>
      </c>
      <c r="EO177" s="150">
        <f>SUM(EO179)</f>
        <v>0</v>
      </c>
      <c r="EP177" s="151">
        <f>EP179</f>
        <v>0</v>
      </c>
      <c r="EQ177" s="148">
        <f>SUM(ER177,ET177)</f>
        <v>0</v>
      </c>
      <c r="ER177" s="149">
        <f>SUM(ER179)</f>
        <v>0</v>
      </c>
      <c r="ES177" s="150">
        <f>SUM(ES179)</f>
        <v>0</v>
      </c>
      <c r="ET177" s="151">
        <f>ET179</f>
        <v>0</v>
      </c>
    </row>
    <row r="178" spans="1:150" ht="10.5" customHeight="1" x14ac:dyDescent="0.3">
      <c r="A178" s="35"/>
      <c r="B178" s="12" t="s">
        <v>2</v>
      </c>
      <c r="C178" s="34"/>
      <c r="D178" s="139"/>
      <c r="E178" s="105"/>
      <c r="F178" s="106"/>
      <c r="G178" s="107"/>
      <c r="H178" s="108"/>
      <c r="I178" s="105"/>
      <c r="J178" s="106"/>
      <c r="K178" s="107"/>
      <c r="L178" s="108"/>
      <c r="M178" s="105"/>
      <c r="N178" s="106"/>
      <c r="O178" s="107"/>
      <c r="P178" s="108"/>
      <c r="Q178" s="105"/>
      <c r="R178" s="106"/>
      <c r="S178" s="107"/>
      <c r="T178" s="108"/>
      <c r="U178" s="105"/>
      <c r="V178" s="106"/>
      <c r="W178" s="107"/>
      <c r="X178" s="108"/>
      <c r="Y178" s="105"/>
      <c r="Z178" s="106"/>
      <c r="AA178" s="107"/>
      <c r="AB178" s="108"/>
      <c r="AC178" s="105"/>
      <c r="AD178" s="106"/>
      <c r="AE178" s="107"/>
      <c r="AF178" s="108"/>
      <c r="AG178" s="105"/>
      <c r="AH178" s="106"/>
      <c r="AI178" s="107"/>
      <c r="AJ178" s="108"/>
      <c r="AK178" s="105"/>
      <c r="AL178" s="106"/>
      <c r="AM178" s="107"/>
      <c r="AN178" s="108"/>
      <c r="AO178" s="105"/>
      <c r="AP178" s="106"/>
      <c r="AQ178" s="107"/>
      <c r="AR178" s="108"/>
      <c r="AS178" s="105"/>
      <c r="AT178" s="106"/>
      <c r="AU178" s="107"/>
      <c r="AV178" s="108"/>
      <c r="AW178" s="105"/>
      <c r="AX178" s="106"/>
      <c r="AY178" s="107"/>
      <c r="AZ178" s="108"/>
      <c r="BA178" s="105"/>
      <c r="BB178" s="106"/>
      <c r="BC178" s="107"/>
      <c r="BD178" s="108"/>
      <c r="BE178" s="105"/>
      <c r="BF178" s="106"/>
      <c r="BG178" s="107"/>
      <c r="BH178" s="108"/>
      <c r="BI178" s="105"/>
      <c r="BJ178" s="106"/>
      <c r="BK178" s="107"/>
      <c r="BL178" s="108"/>
      <c r="BM178" s="105"/>
      <c r="BN178" s="106"/>
      <c r="BO178" s="107"/>
      <c r="BP178" s="108"/>
      <c r="BQ178" s="105"/>
      <c r="BR178" s="106"/>
      <c r="BS178" s="107"/>
      <c r="BT178" s="108"/>
      <c r="BU178" s="105"/>
      <c r="BV178" s="106"/>
      <c r="BW178" s="107"/>
      <c r="BX178" s="108"/>
      <c r="BY178" s="164"/>
      <c r="BZ178" s="147"/>
      <c r="CA178" s="161"/>
      <c r="CB178" s="162"/>
      <c r="CC178" s="164"/>
      <c r="CD178" s="147"/>
      <c r="CE178" s="161"/>
      <c r="CF178" s="162"/>
      <c r="CG178" s="105"/>
      <c r="CH178" s="106"/>
      <c r="CI178" s="107"/>
      <c r="CJ178" s="108"/>
      <c r="CK178" s="105"/>
      <c r="CL178" s="106"/>
      <c r="CM178" s="107"/>
      <c r="CN178" s="108"/>
      <c r="CO178" s="164"/>
      <c r="CP178" s="147"/>
      <c r="CQ178" s="161"/>
      <c r="CR178" s="162"/>
      <c r="CS178" s="164"/>
      <c r="CT178" s="147"/>
      <c r="CU178" s="161"/>
      <c r="CV178" s="162"/>
      <c r="CW178" s="105"/>
      <c r="CX178" s="106"/>
      <c r="CY178" s="107"/>
      <c r="CZ178" s="108"/>
      <c r="DA178" s="105"/>
      <c r="DB178" s="106"/>
      <c r="DC178" s="107"/>
      <c r="DD178" s="108"/>
      <c r="DE178" s="164"/>
      <c r="DF178" s="147"/>
      <c r="DG178" s="161"/>
      <c r="DH178" s="162"/>
      <c r="DI178" s="164"/>
      <c r="DJ178" s="147"/>
      <c r="DK178" s="161"/>
      <c r="DL178" s="162"/>
      <c r="DM178" s="105"/>
      <c r="DN178" s="106"/>
      <c r="DO178" s="107"/>
      <c r="DP178" s="108"/>
      <c r="DQ178" s="105"/>
      <c r="DR178" s="106"/>
      <c r="DS178" s="107"/>
      <c r="DT178" s="108"/>
      <c r="DU178" s="164"/>
      <c r="DV178" s="147"/>
      <c r="DW178" s="161"/>
      <c r="DX178" s="162"/>
      <c r="DY178" s="164"/>
      <c r="DZ178" s="147"/>
      <c r="EA178" s="161"/>
      <c r="EB178" s="162"/>
      <c r="EC178" s="105"/>
      <c r="ED178" s="106"/>
      <c r="EE178" s="107"/>
      <c r="EF178" s="108"/>
      <c r="EG178" s="105"/>
      <c r="EH178" s="106"/>
      <c r="EI178" s="107"/>
      <c r="EJ178" s="108"/>
      <c r="EK178" s="153">
        <f t="shared" si="1402"/>
        <v>0</v>
      </c>
      <c r="EL178" s="153">
        <f t="shared" si="1403"/>
        <v>0</v>
      </c>
      <c r="EM178" s="105"/>
      <c r="EN178" s="106"/>
      <c r="EO178" s="107"/>
      <c r="EP178" s="108"/>
      <c r="EQ178" s="105"/>
      <c r="ER178" s="106"/>
      <c r="ES178" s="107"/>
      <c r="ET178" s="108"/>
    </row>
    <row r="179" spans="1:150" ht="29.4" customHeight="1" thickBot="1" x14ac:dyDescent="0.35">
      <c r="A179" s="60" t="s">
        <v>23</v>
      </c>
      <c r="B179" s="61" t="s">
        <v>35</v>
      </c>
      <c r="C179" s="62" t="s">
        <v>94</v>
      </c>
      <c r="D179" s="144" t="s">
        <v>37</v>
      </c>
      <c r="E179" s="114">
        <f>SUM(F179,H179)</f>
        <v>4</v>
      </c>
      <c r="F179" s="115">
        <v>4</v>
      </c>
      <c r="G179" s="116"/>
      <c r="H179" s="117"/>
      <c r="I179" s="114">
        <f>SUM(J179,L179)</f>
        <v>0</v>
      </c>
      <c r="J179" s="115"/>
      <c r="K179" s="116"/>
      <c r="L179" s="117"/>
      <c r="M179" s="114">
        <f>SUM(N179,P179)</f>
        <v>0</v>
      </c>
      <c r="N179" s="115"/>
      <c r="O179" s="116"/>
      <c r="P179" s="117"/>
      <c r="Q179" s="114">
        <f>SUM(R179,T179)</f>
        <v>0</v>
      </c>
      <c r="R179" s="115"/>
      <c r="S179" s="116"/>
      <c r="T179" s="117"/>
      <c r="U179" s="105">
        <f t="shared" ref="U179" si="1850">SUM(V179,X179)</f>
        <v>4</v>
      </c>
      <c r="V179" s="106">
        <f t="shared" ref="V179" si="1851">F179+N179</f>
        <v>4</v>
      </c>
      <c r="W179" s="107">
        <f t="shared" ref="W179" si="1852">G179+O179</f>
        <v>0</v>
      </c>
      <c r="X179" s="108">
        <f t="shared" ref="X179" si="1853">H179+P179</f>
        <v>0</v>
      </c>
      <c r="Y179" s="105">
        <f t="shared" ref="Y179" si="1854">SUM(Z179,AB179)</f>
        <v>0</v>
      </c>
      <c r="Z179" s="106">
        <f t="shared" ref="Z179" si="1855">J179+R179</f>
        <v>0</v>
      </c>
      <c r="AA179" s="107">
        <f t="shared" ref="AA179" si="1856">K179+S179</f>
        <v>0</v>
      </c>
      <c r="AB179" s="108">
        <f t="shared" ref="AB179" si="1857">L179+T179</f>
        <v>0</v>
      </c>
      <c r="AC179" s="114">
        <f>SUM(AD179,AF179)</f>
        <v>0</v>
      </c>
      <c r="AD179" s="115"/>
      <c r="AE179" s="116"/>
      <c r="AF179" s="117"/>
      <c r="AG179" s="114">
        <f>SUM(AH179,AJ179)</f>
        <v>0</v>
      </c>
      <c r="AH179" s="115"/>
      <c r="AI179" s="116"/>
      <c r="AJ179" s="117"/>
      <c r="AK179" s="105">
        <f t="shared" ref="AK179" si="1858">SUM(AL179,AN179)</f>
        <v>4</v>
      </c>
      <c r="AL179" s="106">
        <f t="shared" ref="AL179" si="1859">V179+AD179</f>
        <v>4</v>
      </c>
      <c r="AM179" s="107">
        <f t="shared" ref="AM179" si="1860">W179+AE179</f>
        <v>0</v>
      </c>
      <c r="AN179" s="108">
        <f t="shared" ref="AN179" si="1861">X179+AF179</f>
        <v>0</v>
      </c>
      <c r="AO179" s="105">
        <f t="shared" ref="AO179" si="1862">SUM(AP179,AR179)</f>
        <v>0</v>
      </c>
      <c r="AP179" s="106">
        <f t="shared" ref="AP179" si="1863">Z179+AH179</f>
        <v>0</v>
      </c>
      <c r="AQ179" s="107">
        <f t="shared" ref="AQ179" si="1864">AA179+AI179</f>
        <v>0</v>
      </c>
      <c r="AR179" s="108">
        <f t="shared" ref="AR179" si="1865">AB179+AJ179</f>
        <v>0</v>
      </c>
      <c r="AS179" s="114">
        <f>SUM(AT179,AV179)</f>
        <v>0</v>
      </c>
      <c r="AT179" s="115"/>
      <c r="AU179" s="116"/>
      <c r="AV179" s="117"/>
      <c r="AW179" s="114">
        <f>SUM(AX179,AZ179)</f>
        <v>0</v>
      </c>
      <c r="AX179" s="115"/>
      <c r="AY179" s="116"/>
      <c r="AZ179" s="117"/>
      <c r="BA179" s="105">
        <f t="shared" ref="BA179" si="1866">SUM(BB179,BD179)</f>
        <v>4</v>
      </c>
      <c r="BB179" s="106">
        <f t="shared" ref="BB179" si="1867">AL179+AT179</f>
        <v>4</v>
      </c>
      <c r="BC179" s="107">
        <f t="shared" ref="BC179" si="1868">AM179+AU179</f>
        <v>0</v>
      </c>
      <c r="BD179" s="108">
        <f t="shared" ref="BD179" si="1869">AN179+AV179</f>
        <v>0</v>
      </c>
      <c r="BE179" s="105">
        <f t="shared" ref="BE179" si="1870">SUM(BF179,BH179)</f>
        <v>0</v>
      </c>
      <c r="BF179" s="106">
        <f t="shared" ref="BF179" si="1871">AP179+AX179</f>
        <v>0</v>
      </c>
      <c r="BG179" s="107">
        <f t="shared" ref="BG179" si="1872">AQ179+AY179</f>
        <v>0</v>
      </c>
      <c r="BH179" s="108">
        <f t="shared" ref="BH179" si="1873">AR179+AZ179</f>
        <v>0</v>
      </c>
      <c r="BI179" s="114">
        <f>SUM(BJ179,BL179)</f>
        <v>0</v>
      </c>
      <c r="BJ179" s="115"/>
      <c r="BK179" s="116"/>
      <c r="BL179" s="117"/>
      <c r="BM179" s="114">
        <f>SUM(BN179,BP179)</f>
        <v>0</v>
      </c>
      <c r="BN179" s="115"/>
      <c r="BO179" s="116"/>
      <c r="BP179" s="117"/>
      <c r="BQ179" s="105">
        <f t="shared" ref="BQ179" si="1874">SUM(BR179,BT179)</f>
        <v>4</v>
      </c>
      <c r="BR179" s="106">
        <f t="shared" ref="BR179" si="1875">BB179+BJ179</f>
        <v>4</v>
      </c>
      <c r="BS179" s="107">
        <f t="shared" ref="BS179" si="1876">BC179+BK179</f>
        <v>0</v>
      </c>
      <c r="BT179" s="108">
        <f t="shared" ref="BT179" si="1877">BD179+BL179</f>
        <v>0</v>
      </c>
      <c r="BU179" s="105">
        <f t="shared" ref="BU179" si="1878">SUM(BV179,BX179)</f>
        <v>0</v>
      </c>
      <c r="BV179" s="106">
        <f t="shared" ref="BV179" si="1879">BF179+BN179</f>
        <v>0</v>
      </c>
      <c r="BW179" s="107">
        <f t="shared" ref="BW179" si="1880">BG179+BO179</f>
        <v>0</v>
      </c>
      <c r="BX179" s="108">
        <f t="shared" ref="BX179" si="1881">BH179+BP179</f>
        <v>0</v>
      </c>
      <c r="BY179" s="180">
        <f>SUM(BZ179,CB179)</f>
        <v>0</v>
      </c>
      <c r="BZ179" s="181"/>
      <c r="CA179" s="182"/>
      <c r="CB179" s="183"/>
      <c r="CC179" s="180">
        <f>SUM(CD179,CF179)</f>
        <v>0</v>
      </c>
      <c r="CD179" s="181"/>
      <c r="CE179" s="182"/>
      <c r="CF179" s="183"/>
      <c r="CG179" s="105">
        <f t="shared" ref="CG179" si="1882">SUM(CH179,CJ179)</f>
        <v>4</v>
      </c>
      <c r="CH179" s="106">
        <f t="shared" ref="CH179" si="1883">BR179+BZ179</f>
        <v>4</v>
      </c>
      <c r="CI179" s="107">
        <f t="shared" ref="CI179" si="1884">BS179+CA179</f>
        <v>0</v>
      </c>
      <c r="CJ179" s="108">
        <f t="shared" ref="CJ179" si="1885">BT179+CB179</f>
        <v>0</v>
      </c>
      <c r="CK179" s="105">
        <f t="shared" ref="CK179" si="1886">SUM(CL179,CN179)</f>
        <v>0</v>
      </c>
      <c r="CL179" s="106">
        <f t="shared" ref="CL179" si="1887">BV179+CD179</f>
        <v>0</v>
      </c>
      <c r="CM179" s="107">
        <f t="shared" ref="CM179" si="1888">BW179+CE179</f>
        <v>0</v>
      </c>
      <c r="CN179" s="108">
        <f t="shared" ref="CN179" si="1889">BX179+CF179</f>
        <v>0</v>
      </c>
      <c r="CO179" s="180">
        <f>SUM(CP179,CR179)</f>
        <v>0</v>
      </c>
      <c r="CP179" s="181"/>
      <c r="CQ179" s="182"/>
      <c r="CR179" s="183"/>
      <c r="CS179" s="180">
        <f>SUM(CT179,CV179)</f>
        <v>0</v>
      </c>
      <c r="CT179" s="181"/>
      <c r="CU179" s="182"/>
      <c r="CV179" s="183"/>
      <c r="CW179" s="105">
        <f t="shared" ref="CW179" si="1890">SUM(CX179,CZ179)</f>
        <v>4</v>
      </c>
      <c r="CX179" s="106">
        <f t="shared" ref="CX179" si="1891">CH179+CP179</f>
        <v>4</v>
      </c>
      <c r="CY179" s="107">
        <f t="shared" ref="CY179" si="1892">CI179+CQ179</f>
        <v>0</v>
      </c>
      <c r="CZ179" s="108">
        <f t="shared" ref="CZ179" si="1893">CJ179+CR179</f>
        <v>0</v>
      </c>
      <c r="DA179" s="105">
        <f t="shared" ref="DA179" si="1894">SUM(DB179,DD179)</f>
        <v>0</v>
      </c>
      <c r="DB179" s="106">
        <f t="shared" ref="DB179" si="1895">CL179+CT179</f>
        <v>0</v>
      </c>
      <c r="DC179" s="107">
        <f t="shared" ref="DC179" si="1896">CM179+CU179</f>
        <v>0</v>
      </c>
      <c r="DD179" s="108">
        <f t="shared" ref="DD179" si="1897">CN179+CV179</f>
        <v>0</v>
      </c>
      <c r="DE179" s="180">
        <f>SUM(DF179,DH179)</f>
        <v>0</v>
      </c>
      <c r="DF179" s="181"/>
      <c r="DG179" s="182"/>
      <c r="DH179" s="183"/>
      <c r="DI179" s="180">
        <f>SUM(DJ179,DL179)</f>
        <v>0</v>
      </c>
      <c r="DJ179" s="181"/>
      <c r="DK179" s="182"/>
      <c r="DL179" s="183"/>
      <c r="DM179" s="105">
        <f t="shared" ref="DM179" si="1898">SUM(DN179,DP179)</f>
        <v>4</v>
      </c>
      <c r="DN179" s="106">
        <f t="shared" ref="DN179" si="1899">CX179+DF179</f>
        <v>4</v>
      </c>
      <c r="DO179" s="107">
        <f t="shared" ref="DO179" si="1900">CY179+DG179</f>
        <v>0</v>
      </c>
      <c r="DP179" s="108">
        <f t="shared" ref="DP179" si="1901">CZ179+DH179</f>
        <v>0</v>
      </c>
      <c r="DQ179" s="105">
        <f t="shared" ref="DQ179" si="1902">SUM(DR179,DT179)</f>
        <v>0</v>
      </c>
      <c r="DR179" s="106">
        <f t="shared" ref="DR179" si="1903">DB179+DJ179</f>
        <v>0</v>
      </c>
      <c r="DS179" s="107">
        <f t="shared" ref="DS179" si="1904">DC179+DK179</f>
        <v>0</v>
      </c>
      <c r="DT179" s="108">
        <f t="shared" ref="DT179" si="1905">DD179+DL179</f>
        <v>0</v>
      </c>
      <c r="DU179" s="180">
        <f>SUM(DV179,DX179)</f>
        <v>0</v>
      </c>
      <c r="DV179" s="181"/>
      <c r="DW179" s="182"/>
      <c r="DX179" s="183"/>
      <c r="DY179" s="180">
        <f>SUM(DZ179,EB179)</f>
        <v>0</v>
      </c>
      <c r="DZ179" s="181"/>
      <c r="EA179" s="182"/>
      <c r="EB179" s="183"/>
      <c r="EC179" s="105">
        <f t="shared" ref="EC179" si="1906">SUM(ED179,EF179)</f>
        <v>4</v>
      </c>
      <c r="ED179" s="106">
        <f t="shared" ref="ED179" si="1907">DN179+DV179</f>
        <v>4</v>
      </c>
      <c r="EE179" s="107">
        <f t="shared" ref="EE179" si="1908">DO179+DW179</f>
        <v>0</v>
      </c>
      <c r="EF179" s="108">
        <f t="shared" ref="EF179" si="1909">DP179+DX179</f>
        <v>0</v>
      </c>
      <c r="EG179" s="105">
        <f t="shared" ref="EG179" si="1910">SUM(EH179,EJ179)</f>
        <v>0</v>
      </c>
      <c r="EH179" s="106">
        <f t="shared" ref="EH179" si="1911">DR179+DZ179</f>
        <v>0</v>
      </c>
      <c r="EI179" s="107">
        <f t="shared" ref="EI179" si="1912">DS179+EA179</f>
        <v>0</v>
      </c>
      <c r="EJ179" s="108">
        <f t="shared" ref="EJ179" si="1913">DT179+EB179</f>
        <v>0</v>
      </c>
      <c r="EK179" s="184">
        <f t="shared" si="1402"/>
        <v>4</v>
      </c>
      <c r="EL179" s="184">
        <f t="shared" si="1403"/>
        <v>4</v>
      </c>
      <c r="EM179" s="114">
        <f>SUM(EN179,EP179)</f>
        <v>8</v>
      </c>
      <c r="EN179" s="115">
        <v>8</v>
      </c>
      <c r="EO179" s="116"/>
      <c r="EP179" s="117"/>
      <c r="EQ179" s="114">
        <f>SUM(ER179,ET179)</f>
        <v>0</v>
      </c>
      <c r="ER179" s="115"/>
      <c r="ES179" s="116"/>
      <c r="ET179" s="117"/>
    </row>
    <row r="180" spans="1:150" s="5" customFormat="1" ht="26" customHeight="1" thickBot="1" x14ac:dyDescent="0.35">
      <c r="A180" s="23"/>
      <c r="B180" s="24" t="s">
        <v>175</v>
      </c>
      <c r="C180" s="145" t="s">
        <v>115</v>
      </c>
      <c r="D180" s="71"/>
      <c r="E180" s="118">
        <f>SUM(F180,H180)</f>
        <v>20824.02</v>
      </c>
      <c r="F180" s="119">
        <f>SUM(F177,F170,F162,F156,F151,F140,F126,F120,F110,F104,F97,F90,F84,F77,F70,F64,F57,F51,F44,F38,F14,F11)</f>
        <v>16747.066999999999</v>
      </c>
      <c r="G180" s="120">
        <f>SUM(G177,G170,G162,G156,G151,G140,G126,G120,G110,G104,G97,G90,G84,G77,G70,G64,G57,G51,G44,G38,G14,G11)</f>
        <v>8743.6990000000005</v>
      </c>
      <c r="H180" s="121">
        <f>SUM(H177,H170,H162,H156,H151,H140,H126,H120,H110,H104,H97,H90,H84,H77,H70,H64,H57,H51,H44,H38,H14,H11)</f>
        <v>4076.953</v>
      </c>
      <c r="I180" s="118">
        <f>SUM(J180,L180)</f>
        <v>3413.5319999999992</v>
      </c>
      <c r="J180" s="119">
        <f>SUM(J177,J170,J162,J156,J151,J140,J126,J120,J110,J104,J97,J90,J84,J77,J70,J64,J57,J51,J44,J38,J14,J11)</f>
        <v>1013.3630000000001</v>
      </c>
      <c r="K180" s="120">
        <f>SUM(K177,K170,K162,K156,K151,K140,K126,K120,K110,K104,K97,K90,K84,K77,K70,K64,K57,K51,K44,K38,K14,K11)</f>
        <v>51.767000000000003</v>
      </c>
      <c r="L180" s="121">
        <f>SUM(L177,L170,L162,L156,L151,L140,L126,L120,L110,L104,L97,L90,L84,L77,L70,L64,L57,L51,L44,L38,L14,L11)</f>
        <v>2400.1689999999994</v>
      </c>
      <c r="M180" s="118">
        <f>SUM(N180,P180)</f>
        <v>0.89999999999999991</v>
      </c>
      <c r="N180" s="119">
        <f>SUM(N177,N170,N162,N156,N151,N140,N126,N120,N110,N104,N97,N90,N84,N77,N70,N64,N57,N51,N44,N38,N14,N11)</f>
        <v>3.9</v>
      </c>
      <c r="O180" s="120">
        <f>SUM(O177,O170,O162,O156,O151,O140,O126,O120,O110,O104,O97,O90,O84,O77,O70,O64,O57,O51,O44,O38,O14,O11)</f>
        <v>0.28399999999999997</v>
      </c>
      <c r="P180" s="121">
        <f>SUM(P177,P170,P162,P156,P151,P140,P126,P120,P110,P104,P97,P90,P84,P77,P70,P64,P57,P51,P44,P38,P14,P11)</f>
        <v>-3</v>
      </c>
      <c r="Q180" s="118">
        <f>SUM(R180,T180)</f>
        <v>0</v>
      </c>
      <c r="R180" s="119">
        <f>SUM(R177,R170,R162,R156,R151,R140,R126,R120,R110,R104,R97,R90,R84,R77,R70,R64,R57,R51,R44,R38,R14,R11)</f>
        <v>1</v>
      </c>
      <c r="S180" s="120">
        <f>SUM(S177,S170,S162,S156,S151,S140,S126,S120,S110,S104,S97,S90,S84,S77,S70,S64,S57,S51,S44,S38,S14,S11)</f>
        <v>0</v>
      </c>
      <c r="T180" s="121">
        <f>SUM(T177,T170,T162,T156,T151,T140,T126,T120,T110,T104,T97,T90,T84,T77,T70,T64,T57,T51,T44,T38,T14,T11)</f>
        <v>-1</v>
      </c>
      <c r="U180" s="118">
        <f>SUM(V180,X180)</f>
        <v>20824.920000000002</v>
      </c>
      <c r="V180" s="119">
        <f>SUM(V177,V170,V162,V156,V151,V140,V126,V120,V110,V104,V97,V90,V84,V77,V70,V64,V57,V51,V44,V38,V14,V11)</f>
        <v>16750.967000000001</v>
      </c>
      <c r="W180" s="120">
        <f>SUM(W177,W170,W162,W156,W151,W140,W126,W120,W110,W104,W97,W90,W84,W77,W70,W64,W57,W51,W44,W38,W14,W11)</f>
        <v>8743.9830000000002</v>
      </c>
      <c r="X180" s="121">
        <f>SUM(X177,X170,X162,X156,X151,X140,X126,X120,X110,X104,X97,X90,X84,X77,X70,X64,X57,X51,X44,X38,X14,X11)</f>
        <v>4073.953</v>
      </c>
      <c r="Y180" s="118">
        <f>SUM(Z180,AB180)</f>
        <v>3413.5319999999992</v>
      </c>
      <c r="Z180" s="119">
        <f>SUM(Z177,Z170,Z162,Z156,Z151,Z140,Z126,Z120,Z110,Z104,Z97,Z90,Z84,Z77,Z70,Z64,Z57,Z51,Z44,Z38,Z14,Z11)</f>
        <v>1014.3630000000001</v>
      </c>
      <c r="AA180" s="120">
        <f>SUM(AA177,AA170,AA162,AA156,AA151,AA140,AA126,AA120,AA110,AA104,AA97,AA90,AA84,AA77,AA70,AA64,AA57,AA51,AA44,AA38,AA14,AA11)</f>
        <v>51.767000000000003</v>
      </c>
      <c r="AB180" s="121">
        <f>SUM(AB177,AB170,AB162,AB156,AB151,AB140,AB126,AB120,AB110,AB104,AB97,AB90,AB84,AB77,AB70,AB64,AB57,AB51,AB44,AB38,AB14,AB11)</f>
        <v>2399.1689999999994</v>
      </c>
      <c r="AC180" s="118">
        <f>SUM(AD180,AF180)</f>
        <v>5.110000000000003</v>
      </c>
      <c r="AD180" s="119">
        <f>SUM(AD177,AD170,AD162,AD156,AD151,AD140,AD126,AD120,AD110,AD104,AD97,AD90,AD84,AD77,AD70,AD64,AD57,AD51,AD44,AD38,AD14,AD11)</f>
        <v>19.560000000000002</v>
      </c>
      <c r="AE180" s="120">
        <f>SUM(AE177,AE170,AE162,AE156,AE151,AE140,AE126,AE120,AE110,AE104,AE97,AE90,AE84,AE77,AE70,AE64,AE57,AE51,AE44,AE38,AE14,AE11)</f>
        <v>-5.3550000000000004</v>
      </c>
      <c r="AF180" s="121">
        <f>SUM(AF177,AF170,AF162,AF156,AF151,AF140,AF126,AF120,AF110,AF104,AF97,AF90,AF84,AF77,AF70,AF64,AF57,AF51,AF44,AF38,AF14,AF11)</f>
        <v>-14.45</v>
      </c>
      <c r="AG180" s="118">
        <f>SUM(AH180,AJ180)</f>
        <v>0</v>
      </c>
      <c r="AH180" s="119">
        <f>SUM(AH177,AH170,AH162,AH156,AH151,AH140,AH126,AH120,AH110,AH104,AH97,AH90,AH84,AH77,AH70,AH64,AH57,AH51,AH44,AH38,AH14,AH11)</f>
        <v>0</v>
      </c>
      <c r="AI180" s="120">
        <f>SUM(AI177,AI170,AI162,AI156,AI151,AI140,AI126,AI120,AI110,AI104,AI97,AI90,AI84,AI77,AI70,AI64,AI57,AI51,AI44,AI38,AI14,AI11)</f>
        <v>0</v>
      </c>
      <c r="AJ180" s="121">
        <f>SUM(AJ177,AJ170,AJ162,AJ156,AJ151,AJ140,AJ126,AJ120,AJ110,AJ104,AJ97,AJ90,AJ84,AJ77,AJ70,AJ64,AJ57,AJ51,AJ44,AJ38,AJ14,AJ11)</f>
        <v>0</v>
      </c>
      <c r="AK180" s="118">
        <f>SUM(AL180,AN180)</f>
        <v>20830.03</v>
      </c>
      <c r="AL180" s="119">
        <f>SUM(AL177,AL170,AL162,AL156,AL151,AL140,AL126,AL120,AL110,AL104,AL97,AL90,AL84,AL77,AL70,AL64,AL57,AL51,AL44,AL38,AL14,AL11)</f>
        <v>16770.526999999998</v>
      </c>
      <c r="AM180" s="120">
        <f>SUM(AM177,AM170,AM162,AM156,AM151,AM140,AM126,AM120,AM110,AM104,AM97,AM90,AM84,AM77,AM70,AM64,AM57,AM51,AM44,AM38,AM14,AM11)</f>
        <v>8738.6280000000006</v>
      </c>
      <c r="AN180" s="121">
        <f>SUM(AN177,AN170,AN162,AN156,AN151,AN140,AN126,AN120,AN110,AN104,AN97,AN90,AN84,AN77,AN70,AN64,AN57,AN51,AN44,AN38,AN14,AN11)</f>
        <v>4059.5029999999997</v>
      </c>
      <c r="AO180" s="118">
        <f>SUM(AP180,AR180)</f>
        <v>3413.5319999999992</v>
      </c>
      <c r="AP180" s="119">
        <f>SUM(AP177,AP170,AP162,AP156,AP151,AP140,AP126,AP120,AP110,AP104,AP97,AP90,AP84,AP77,AP70,AP64,AP57,AP51,AP44,AP38,AP14,AP11)</f>
        <v>1014.3630000000001</v>
      </c>
      <c r="AQ180" s="120">
        <f>SUM(AQ177,AQ170,AQ162,AQ156,AQ151,AQ140,AQ126,AQ120,AQ110,AQ104,AQ97,AQ90,AQ84,AQ77,AQ70,AQ64,AQ57,AQ51,AQ44,AQ38,AQ14,AQ11)</f>
        <v>51.767000000000003</v>
      </c>
      <c r="AR180" s="121">
        <f>SUM(AR177,AR170,AR162,AR156,AR151,AR140,AR126,AR120,AR110,AR104,AR97,AR90,AR84,AR77,AR70,AR64,AR57,AR51,AR44,AR38,AR14,AR11)</f>
        <v>2399.1689999999994</v>
      </c>
      <c r="AS180" s="118">
        <f>SUM(AT180,AV180)</f>
        <v>0.19200000000002504</v>
      </c>
      <c r="AT180" s="119">
        <f>SUM(AT177,AT170,AT162,AT156,AT151,AT140,AT126,AT120,AT110,AT104,AT97,AT90,AT84,AT77,AT70,AT64,AT57,AT51,AT44,AT38,AT14,AT11)</f>
        <v>15.419000000000025</v>
      </c>
      <c r="AU180" s="120">
        <f>SUM(AU177,AU170,AU162,AU156,AU151,AU140,AU126,AU120,AU110,AU104,AU97,AU90,AU84,AU77,AU70,AU64,AU57,AU51,AU44,AU38,AU14,AU11)</f>
        <v>-12.563000000000004</v>
      </c>
      <c r="AV180" s="121">
        <f>SUM(AV177,AV170,AV162,AV156,AV151,AV140,AV126,AV120,AV110,AV104,AV97,AV90,AV84,AV77,AV70,AV64,AV57,AV51,AV44,AV38,AV14,AV11)</f>
        <v>-15.227</v>
      </c>
      <c r="AW180" s="118">
        <f>SUM(AX180,AZ180)</f>
        <v>0</v>
      </c>
      <c r="AX180" s="119">
        <f>SUM(AX177,AX170,AX162,AX156,AX151,AX140,AX126,AX120,AX110,AX104,AX97,AX90,AX84,AX77,AX70,AX64,AX57,AX51,AX44,AX38,AX14,AX11)</f>
        <v>6.41</v>
      </c>
      <c r="AY180" s="120">
        <f>SUM(AY177,AY170,AY162,AY156,AY151,AY140,AY126,AY120,AY110,AY104,AY97,AY90,AY84,AY77,AY70,AY64,AY57,AY51,AY44,AY38,AY14,AY11)</f>
        <v>0</v>
      </c>
      <c r="AZ180" s="121">
        <f>SUM(AZ177,AZ170,AZ162,AZ156,AZ151,AZ140,AZ126,AZ120,AZ110,AZ104,AZ97,AZ90,AZ84,AZ77,AZ70,AZ64,AZ57,AZ51,AZ44,AZ38,AZ14,AZ11)</f>
        <v>-6.41</v>
      </c>
      <c r="BA180" s="118">
        <f>SUM(BB180,BD180)</f>
        <v>20830.221999999994</v>
      </c>
      <c r="BB180" s="119">
        <f>SUM(BB177,BB170,BB162,BB156,BB151,BB140,BB126,BB120,BB110,BB104,BB97,BB90,BB84,BB77,BB70,BB64,BB57,BB51,BB44,BB38,BB14,BB11)</f>
        <v>16785.945999999996</v>
      </c>
      <c r="BC180" s="120">
        <f>SUM(BC177,BC170,BC162,BC156,BC151,BC140,BC126,BC120,BC110,BC104,BC97,BC90,BC84,BC77,BC70,BC64,BC57,BC51,BC44,BC38,BC14,BC11)</f>
        <v>8726.0650000000005</v>
      </c>
      <c r="BD180" s="121">
        <f>SUM(BD177,BD170,BD162,BD156,BD151,BD140,BD126,BD120,BD110,BD104,BD97,BD90,BD84,BD77,BD70,BD64,BD57,BD51,BD44,BD38,BD14,BD11)</f>
        <v>4044.2759999999998</v>
      </c>
      <c r="BE180" s="118">
        <f>SUM(BF180,BH180)</f>
        <v>3413.5319999999997</v>
      </c>
      <c r="BF180" s="119">
        <f>SUM(BF177,BF170,BF162,BF156,BF151,BF140,BF126,BF120,BF110,BF104,BF97,BF90,BF84,BF77,BF70,BF64,BF57,BF51,BF44,BF38,BF14,BF11)</f>
        <v>1020.7730000000001</v>
      </c>
      <c r="BG180" s="120">
        <f>SUM(BG177,BG170,BG162,BG156,BG151,BG140,BG126,BG120,BG110,BG104,BG97,BG90,BG84,BG77,BG70,BG64,BG57,BG51,BG44,BG38,BG14,BG11)</f>
        <v>51.767000000000003</v>
      </c>
      <c r="BH180" s="121">
        <f>SUM(BH177,BH170,BH162,BH156,BH151,BH140,BH126,BH120,BH110,BH104,BH97,BH90,BH84,BH77,BH70,BH64,BH57,BH51,BH44,BH38,BH14,BH11)</f>
        <v>2392.7589999999996</v>
      </c>
      <c r="BI180" s="118">
        <f>SUM(BJ180,BL180)</f>
        <v>70</v>
      </c>
      <c r="BJ180" s="119">
        <f>SUM(BJ177,BJ170,BJ162,BJ156,BJ151,BJ140,BJ126,BJ120,BJ110,BJ104,BJ97,BJ90,BJ84,BJ77,BJ70,BJ64,BJ57,BJ51,BJ44,BJ38,BJ14,BJ11)</f>
        <v>68.578000000000003</v>
      </c>
      <c r="BK180" s="120">
        <f>SUM(BK177,BK170,BK162,BK156,BK151,BK140,BK126,BK120,BK110,BK104,BK97,BK90,BK84,BK77,BK70,BK64,BK57,BK51,BK44,BK38,BK14,BK11)</f>
        <v>10.15</v>
      </c>
      <c r="BL180" s="121">
        <f>SUM(BL177,BL170,BL162,BL156,BL151,BL140,BL126,BL120,BL110,BL104,BL97,BL90,BL84,BL77,BL70,BL64,BL57,BL51,BL44,BL38,BL14,BL11)</f>
        <v>1.4220000000000006</v>
      </c>
      <c r="BM180" s="118">
        <f>SUM(BN180,BP180)</f>
        <v>30</v>
      </c>
      <c r="BN180" s="119">
        <f>SUM(BN177,BN170,BN162,BN156,BN151,BN140,BN126,BN120,BN110,BN104,BN97,BN90,BN84,BN77,BN70,BN64,BN57,BN51,BN44,BN38,BN14,BN11)</f>
        <v>40.847999999999999</v>
      </c>
      <c r="BO180" s="120">
        <f>SUM(BO177,BO170,BO162,BO156,BO151,BO140,BO126,BO120,BO110,BO104,BO97,BO90,BO84,BO77,BO70,BO64,BO57,BO51,BO44,BO38,BO14,BO11)</f>
        <v>10</v>
      </c>
      <c r="BP180" s="121">
        <f>SUM(BP177,BP170,BP162,BP156,BP151,BP140,BP126,BP120,BP110,BP104,BP97,BP90,BP84,BP77,BP70,BP64,BP57,BP51,BP44,BP38,BP14,BP11)</f>
        <v>-10.848000000000001</v>
      </c>
      <c r="BQ180" s="118">
        <f>SUM(BR180,BT180)</f>
        <v>20900.221999999998</v>
      </c>
      <c r="BR180" s="119">
        <f>SUM(BR177,BR170,BR162,BR156,BR151,BR140,BR126,BR120,BR110,BR104,BR97,BR90,BR84,BR77,BR70,BR64,BR57,BR51,BR44,BR38,BR14,BR11)</f>
        <v>16854.523999999998</v>
      </c>
      <c r="BS180" s="120">
        <f>SUM(BS177,BS170,BS162,BS156,BS151,BS140,BS126,BS120,BS110,BS104,BS97,BS90,BS84,BS77,BS70,BS64,BS57,BS51,BS44,BS38,BS14,BS11)</f>
        <v>8736.215000000002</v>
      </c>
      <c r="BT180" s="121">
        <f>SUM(BT177,BT170,BT162,BT156,BT151,BT140,BT126,BT120,BT110,BT104,BT97,BT90,BT84,BT77,BT70,BT64,BT57,BT51,BT44,BT38,BT14,BT11)</f>
        <v>4045.6980000000003</v>
      </c>
      <c r="BU180" s="118">
        <f>SUM(BV180,BX180)</f>
        <v>3443.5319999999997</v>
      </c>
      <c r="BV180" s="119">
        <f>SUM(BV177,BV170,BV162,BV156,BV151,BV140,BV126,BV120,BV110,BV104,BV97,BV90,BV84,BV77,BV70,BV64,BV57,BV51,BV44,BV38,BV14,BV11)</f>
        <v>1061.6210000000001</v>
      </c>
      <c r="BW180" s="120">
        <f>SUM(BW177,BW170,BW162,BW156,BW151,BW140,BW126,BW120,BW110,BW104,BW97,BW90,BW84,BW77,BW70,BW64,BW57,BW51,BW44,BW38,BW14,BW11)</f>
        <v>61.767000000000003</v>
      </c>
      <c r="BX180" s="121">
        <f>SUM(BX177,BX170,BX162,BX156,BX151,BX140,BX126,BX120,BX110,BX104,BX97,BX90,BX84,BX77,BX70,BX64,BX57,BX51,BX44,BX38,BX14,BX11)</f>
        <v>2381.9109999999996</v>
      </c>
      <c r="BY180" s="185">
        <f>SUM(BZ180,CB180)</f>
        <v>1.3000000000000007</v>
      </c>
      <c r="BZ180" s="186">
        <f>SUM(BZ177,BZ170,BZ162,BZ156,BZ151,BZ140,BZ126,BZ120,BZ110,BZ104,BZ97,BZ90,BZ84,BZ77,BZ70,BZ64,BZ57,BZ51,BZ44,BZ38,BZ14,BZ11)</f>
        <v>-5.3659999999999997</v>
      </c>
      <c r="CA180" s="187">
        <f>SUM(CA177,CA170,CA162,CA156,CA151,CA140,CA126,CA120,CA110,CA104,CA97,CA90,CA84,CA77,CA70,CA64,CA57,CA51,CA44,CA38,CA14,CA11)</f>
        <v>-28.278000000000002</v>
      </c>
      <c r="CB180" s="188">
        <f>SUM(CB177,CB170,CB162,CB156,CB151,CB140,CB126,CB120,CB110,CB104,CB97,CB90,CB84,CB77,CB70,CB64,CB57,CB51,CB44,CB38,CB14,CB11)</f>
        <v>6.6660000000000004</v>
      </c>
      <c r="CC180" s="185">
        <f>SUM(CD180,CF180)</f>
        <v>0</v>
      </c>
      <c r="CD180" s="186">
        <f>SUM(CD177,CD170,CD162,CD156,CD151,CD140,CD126,CD120,CD110,CD104,CD97,CD90,CD84,CD77,CD70,CD64,CD57,CD51,CD44,CD38,CD14,CD11)</f>
        <v>-4.6100000000000003</v>
      </c>
      <c r="CE180" s="187">
        <f>SUM(CE177,CE170,CE162,CE156,CE151,CE140,CE126,CE120,CE110,CE104,CE97,CE90,CE84,CE77,CE70,CE64,CE57,CE51,CE44,CE38,CE14,CE11)</f>
        <v>0</v>
      </c>
      <c r="CF180" s="188">
        <f>SUM(CF177,CF170,CF162,CF156,CF151,CF140,CF126,CF120,CF110,CF104,CF97,CF90,CF84,CF77,CF70,CF64,CF57,CF51,CF44,CF38,CF14,CF11)</f>
        <v>4.6100000000000003</v>
      </c>
      <c r="CG180" s="118">
        <f>SUM(CH180,CJ180)</f>
        <v>20901.521999999997</v>
      </c>
      <c r="CH180" s="119">
        <f>SUM(CH177,CH170,CH162,CH156,CH151,CH140,CH126,CH120,CH110,CH104,CH97,CH90,CH84,CH77,CH70,CH64,CH57,CH51,CH44,CH38,CH14,CH11)</f>
        <v>16849.157999999996</v>
      </c>
      <c r="CI180" s="120">
        <f>SUM(CI177,CI170,CI162,CI156,CI151,CI140,CI126,CI120,CI110,CI104,CI97,CI90,CI84,CI77,CI70,CI64,CI57,CI51,CI44,CI38,CI14,CI11)</f>
        <v>8707.9370000000017</v>
      </c>
      <c r="CJ180" s="121">
        <f>SUM(CJ177,CJ170,CJ162,CJ156,CJ151,CJ140,CJ126,CJ120,CJ110,CJ104,CJ97,CJ90,CJ84,CJ77,CJ70,CJ64,CJ57,CJ51,CJ44,CJ38,CJ14,CJ11)</f>
        <v>4052.3640000000005</v>
      </c>
      <c r="CK180" s="118">
        <f>SUM(CL180,CN180)</f>
        <v>3443.5319999999992</v>
      </c>
      <c r="CL180" s="119">
        <f>SUM(CL177,CL170,CL162,CL156,CL151,CL140,CL126,CL120,CL110,CL104,CL97,CL90,CL84,CL77,CL70,CL64,CL57,CL51,CL44,CL38,CL14,CL11)</f>
        <v>1057.011</v>
      </c>
      <c r="CM180" s="120">
        <f>SUM(CM177,CM170,CM162,CM156,CM151,CM140,CM126,CM120,CM110,CM104,CM97,CM90,CM84,CM77,CM70,CM64,CM57,CM51,CM44,CM38,CM14,CM11)</f>
        <v>61.767000000000003</v>
      </c>
      <c r="CN180" s="121">
        <f>SUM(CN177,CN170,CN162,CN156,CN151,CN140,CN126,CN120,CN110,CN104,CN97,CN90,CN84,CN77,CN70,CN64,CN57,CN51,CN44,CN38,CN14,CN11)</f>
        <v>2386.5209999999993</v>
      </c>
      <c r="CO180" s="185">
        <f>SUM(CP180,CR180)</f>
        <v>5.1000000000000014</v>
      </c>
      <c r="CP180" s="186">
        <f>SUM(CP177,CP170,CP162,CP156,CP151,CP140,CP126,CP120,CP110,CP104,CP97,CP90,CP84,CP77,CP70,CP64,CP57,CP51,CP44,CP38,CP14,CP11)</f>
        <v>16.027000000000001</v>
      </c>
      <c r="CQ180" s="187">
        <f>SUM(CQ177,CQ170,CQ162,CQ156,CQ151,CQ140,CQ126,CQ120,CQ110,CQ104,CQ97,CQ90,CQ84,CQ77,CQ70,CQ64,CQ57,CQ51,CQ44,CQ38,CQ14,CQ11)</f>
        <v>6.5760000000000014</v>
      </c>
      <c r="CR180" s="188">
        <f>SUM(CR177,CR170,CR162,CR156,CR151,CR140,CR126,CR120,CR110,CR104,CR97,CR90,CR84,CR77,CR70,CR64,CR57,CR51,CR44,CR38,CR14,CR11)</f>
        <v>-10.927</v>
      </c>
      <c r="CS180" s="185">
        <f>SUM(CT180,CV180)</f>
        <v>0</v>
      </c>
      <c r="CT180" s="186">
        <f>SUM(CT177,CT170,CT162,CT156,CT151,CT140,CT126,CT120,CT110,CT104,CT97,CT90,CT84,CT77,CT70,CT64,CT57,CT51,CT44,CT38,CT14,CT11)</f>
        <v>7.0940000000000003</v>
      </c>
      <c r="CU180" s="187">
        <f>SUM(CU177,CU170,CU162,CU156,CU151,CU140,CU126,CU120,CU110,CU104,CU97,CU90,CU84,CU77,CU70,CU64,CU57,CU51,CU44,CU38,CU14,CU11)</f>
        <v>1.0620000000000001</v>
      </c>
      <c r="CV180" s="188">
        <f>SUM(CV177,CV170,CV162,CV156,CV151,CV140,CV126,CV120,CV110,CV104,CV97,CV90,CV84,CV77,CV70,CV64,CV57,CV51,CV44,CV38,CV14,CV11)</f>
        <v>-7.0940000000000003</v>
      </c>
      <c r="CW180" s="118">
        <f>SUM(CX180,CZ180)</f>
        <v>20906.622000000003</v>
      </c>
      <c r="CX180" s="119">
        <f>SUM(CX177,CX170,CX162,CX156,CX151,CX140,CX126,CX120,CX110,CX104,CX97,CX90,CX84,CX77,CX70,CX64,CX57,CX51,CX44,CX38,CX14,CX11)</f>
        <v>16865.185000000001</v>
      </c>
      <c r="CY180" s="120">
        <f>SUM(CY177,CY170,CY162,CY156,CY151,CY140,CY126,CY120,CY110,CY104,CY97,CY90,CY84,CY77,CY70,CY64,CY57,CY51,CY44,CY38,CY14,CY11)</f>
        <v>8714.5130000000008</v>
      </c>
      <c r="CZ180" s="121">
        <f>SUM(CZ177,CZ170,CZ162,CZ156,CZ151,CZ140,CZ126,CZ120,CZ110,CZ104,CZ97,CZ90,CZ84,CZ77,CZ70,CZ64,CZ57,CZ51,CZ44,CZ38,CZ14,CZ11)</f>
        <v>4041.4369999999999</v>
      </c>
      <c r="DA180" s="118">
        <f>SUM(DB180,DD180)</f>
        <v>3443.5319999999997</v>
      </c>
      <c r="DB180" s="119">
        <f>SUM(DB177,DB170,DB162,DB156,DB151,DB140,DB126,DB120,DB110,DB104,DB97,DB90,DB84,DB77,DB70,DB64,DB57,DB51,DB44,DB38,DB14,DB11)</f>
        <v>1064.105</v>
      </c>
      <c r="DC180" s="120">
        <f>SUM(DC177,DC170,DC162,DC156,DC151,DC140,DC126,DC120,DC110,DC104,DC97,DC90,DC84,DC77,DC70,DC64,DC57,DC51,DC44,DC38,DC14,DC11)</f>
        <v>62.829000000000001</v>
      </c>
      <c r="DD180" s="121">
        <f>SUM(DD177,DD170,DD162,DD156,DD151,DD140,DD126,DD120,DD110,DD104,DD97,DD90,DD84,DD77,DD70,DD64,DD57,DD51,DD44,DD38,DD14,DD11)</f>
        <v>2379.4269999999997</v>
      </c>
      <c r="DE180" s="185">
        <f>SUM(DF180,DH180)</f>
        <v>35.72</v>
      </c>
      <c r="DF180" s="186">
        <f>SUM(DF177,DF170,DF162,DF156,DF151,DF140,DF126,DF120,DF110,DF104,DF97,DF90,DF84,DF77,DF70,DF64,DF57,DF51,DF44,DF38,DF14,DF11)</f>
        <v>6.9830000000000023</v>
      </c>
      <c r="DG180" s="187">
        <f>SUM(DG177,DG170,DG162,DG156,DG151,DG140,DG126,DG120,DG110,DG104,DG97,DG90,DG84,DG77,DG70,DG64,DG57,DG51,DG44,DG38,DG14,DG11)</f>
        <v>8.0820000000000043</v>
      </c>
      <c r="DH180" s="188">
        <f>SUM(DH177,DH170,DH162,DH156,DH151,DH140,DH126,DH120,DH110,DH104,DH97,DH90,DH84,DH77,DH70,DH64,DH57,DH51,DH44,DH38,DH14,DH11)</f>
        <v>28.736999999999998</v>
      </c>
      <c r="DI180" s="185">
        <f>SUM(DJ180,DL180)</f>
        <v>0</v>
      </c>
      <c r="DJ180" s="186">
        <f>SUM(DJ177,DJ170,DJ162,DJ156,DJ151,DJ140,DJ126,DJ120,DJ110,DJ104,DJ97,DJ90,DJ84,DJ77,DJ70,DJ64,DJ57,DJ51,DJ44,DJ38,DJ14,DJ11)</f>
        <v>0</v>
      </c>
      <c r="DK180" s="187">
        <f>SUM(DK177,DK170,DK162,DK156,DK151,DK140,DK126,DK120,DK110,DK104,DK97,DK90,DK84,DK77,DK70,DK64,DK57,DK51,DK44,DK38,DK14,DK11)</f>
        <v>0</v>
      </c>
      <c r="DL180" s="188">
        <f>SUM(DL177,DL170,DL162,DL156,DL151,DL140,DL126,DL120,DL110,DL104,DL97,DL90,DL84,DL77,DL70,DL64,DL57,DL51,DL44,DL38,DL14,DL11)</f>
        <v>0</v>
      </c>
      <c r="DM180" s="118">
        <f>SUM(DN180,DP180)</f>
        <v>20942.341999999997</v>
      </c>
      <c r="DN180" s="119">
        <f>SUM(DN177,DN170,DN162,DN156,DN151,DN140,DN126,DN120,DN110,DN104,DN97,DN90,DN84,DN77,DN70,DN64,DN57,DN51,DN44,DN38,DN14,DN11)</f>
        <v>16872.167999999998</v>
      </c>
      <c r="DO180" s="120">
        <f>SUM(DO177,DO170,DO162,DO156,DO151,DO140,DO126,DO120,DO110,DO104,DO97,DO90,DO84,DO77,DO70,DO64,DO57,DO51,DO44,DO38,DO14,DO11)</f>
        <v>8722.5950000000012</v>
      </c>
      <c r="DP180" s="121">
        <f>SUM(DP177,DP170,DP162,DP156,DP151,DP140,DP126,DP120,DP110,DP104,DP97,DP90,DP84,DP77,DP70,DP64,DP57,DP51,DP44,DP38,DP14,DP11)</f>
        <v>4070.174</v>
      </c>
      <c r="DQ180" s="118">
        <f>SUM(DR180,DT180)</f>
        <v>3443.5319999999997</v>
      </c>
      <c r="DR180" s="119">
        <f>SUM(DR177,DR170,DR162,DR156,DR151,DR140,DR126,DR120,DR110,DR104,DR97,DR90,DR84,DR77,DR70,DR64,DR57,DR51,DR44,DR38,DR14,DR11)</f>
        <v>1064.105</v>
      </c>
      <c r="DS180" s="120">
        <f>SUM(DS177,DS170,DS162,DS156,DS151,DS140,DS126,DS120,DS110,DS104,DS97,DS90,DS84,DS77,DS70,DS64,DS57,DS51,DS44,DS38,DS14,DS11)</f>
        <v>62.829000000000001</v>
      </c>
      <c r="DT180" s="121">
        <f>SUM(DT177,DT170,DT162,DT156,DT151,DT140,DT126,DT120,DT110,DT104,DT97,DT90,DT84,DT77,DT70,DT64,DT57,DT51,DT44,DT38,DT14,DT11)</f>
        <v>2379.4269999999997</v>
      </c>
      <c r="DU180" s="185">
        <f>SUM(DV180,DX180)</f>
        <v>28.849000000000004</v>
      </c>
      <c r="DV180" s="186">
        <f>SUM(DV177,DV170,DV162,DV156,DV151,DV140,DV126,DV120,DV110,DV104,DV97,DV90,DV84,DV77,DV70,DV64,DV57,DV51,DV44,DV38,DV14,DV11)</f>
        <v>15.279000000000005</v>
      </c>
      <c r="DW180" s="187">
        <f>SUM(DW177,DW170,DW162,DW156,DW151,DW140,DW126,DW120,DW110,DW104,DW97,DW90,DW84,DW77,DW70,DW64,DW57,DW51,DW44,DW38,DW14,DW11)</f>
        <v>-51.775999999999996</v>
      </c>
      <c r="DX180" s="188">
        <f>SUM(DX177,DX170,DX162,DX156,DX151,DX140,DX126,DX120,DX110,DX104,DX97,DX90,DX84,DX77,DX70,DX64,DX57,DX51,DX44,DX38,DX14,DX11)</f>
        <v>13.569999999999997</v>
      </c>
      <c r="DY180" s="185">
        <f>SUM(DZ180,EB180)</f>
        <v>0</v>
      </c>
      <c r="DZ180" s="186">
        <f>SUM(DZ177,DZ170,DZ162,DZ156,DZ151,DZ140,DZ126,DZ120,DZ110,DZ104,DZ97,DZ90,DZ84,DZ77,DZ70,DZ64,DZ57,DZ51,DZ44,DZ38,DZ14,DZ11)</f>
        <v>0</v>
      </c>
      <c r="EA180" s="187">
        <f>SUM(EA177,EA170,EA162,EA156,EA151,EA140,EA126,EA120,EA110,EA104,EA97,EA90,EA84,EA77,EA70,EA64,EA57,EA51,EA44,EA38,EA14,EA11)</f>
        <v>0</v>
      </c>
      <c r="EB180" s="188">
        <f>SUM(EB177,EB170,EB162,EB156,EB151,EB140,EB126,EB120,EB110,EB104,EB97,EB90,EB84,EB77,EB70,EB64,EB57,EB51,EB44,EB38,EB14,EB11)</f>
        <v>0</v>
      </c>
      <c r="EC180" s="118">
        <f>SUM(ED180,EF180)</f>
        <v>20971.190999999995</v>
      </c>
      <c r="ED180" s="119">
        <f>SUM(ED177,ED170,ED162,ED156,ED151,ED140,ED126,ED120,ED110,ED104,ED97,ED90,ED84,ED77,ED70,ED64,ED57,ED51,ED44,ED38,ED14,ED11)</f>
        <v>16887.446999999996</v>
      </c>
      <c r="EE180" s="120">
        <f>SUM(EE177,EE170,EE162,EE156,EE151,EE140,EE126,EE120,EE110,EE104,EE97,EE90,EE84,EE77,EE70,EE64,EE57,EE51,EE44,EE38,EE14,EE11)</f>
        <v>8670.8190000000013</v>
      </c>
      <c r="EF180" s="121">
        <f>SUM(EF177,EF170,EF162,EF156,EF151,EF140,EF126,EF120,EF110,EF104,EF97,EF90,EF84,EF77,EF70,EF64,EF57,EF51,EF44,EF38,EF14,EF11)</f>
        <v>4083.7440000000001</v>
      </c>
      <c r="EG180" s="118">
        <f>SUM(EH180,EJ180)</f>
        <v>3443.5319999999997</v>
      </c>
      <c r="EH180" s="119">
        <f>SUM(EH177,EH170,EH162,EH156,EH151,EH140,EH126,EH120,EH110,EH104,EH97,EH90,EH84,EH77,EH70,EH64,EH57,EH51,EH44,EH38,EH14,EH11)</f>
        <v>1064.105</v>
      </c>
      <c r="EI180" s="120">
        <f>SUM(EI177,EI170,EI162,EI156,EI151,EI140,EI126,EI120,EI110,EI104,EI97,EI90,EI84,EI77,EI70,EI64,EI57,EI51,EI44,EI38,EI14,EI11)</f>
        <v>62.829000000000001</v>
      </c>
      <c r="EJ180" s="121">
        <f>SUM(EJ177,EJ170,EJ162,EJ156,EJ151,EJ140,EJ126,EJ120,EJ110,EJ104,EJ97,EJ90,EJ84,EJ77,EJ70,EJ64,EJ57,EJ51,EJ44,EJ38,EJ14,EJ11)</f>
        <v>2379.4269999999997</v>
      </c>
      <c r="EK180" s="189">
        <f t="shared" si="1402"/>
        <v>2834.8940000000002</v>
      </c>
      <c r="EL180" s="189">
        <f t="shared" si="1403"/>
        <v>2687.7230000000054</v>
      </c>
      <c r="EM180" s="118">
        <f>SUM(EN180,EP180)</f>
        <v>23658.914000000001</v>
      </c>
      <c r="EN180" s="119">
        <f>SUM(EN177,EN170,EN162,EN156,EN151,EN140,EN126,EN120,EN110,EN104,EN97,EN90,EN84,EN77,EN70,EN64,EN57,EN51,EN44,EN38,EN14,EN11)</f>
        <v>17813.078000000001</v>
      </c>
      <c r="EO180" s="120">
        <f>SUM(EO177,EO170,EO162,EO156,EO151,EO140,EO126,EO120,EO110,EO104,EO97,EO90,EO84,EO77,EO70,EO64,EO57,EO51,EO44,EO38,EO14,EO11)</f>
        <v>9673.7180000000008</v>
      </c>
      <c r="EP180" s="121">
        <f>SUM(EP177,EP170,EP162,EP156,EP151,EP140,EP126,EP120,EP110,EP104,EP97,EP90,EP84,EP77,EP70,EP64,EP57,EP51,EP44,EP38,EP14,EP11)</f>
        <v>5845.8360000000002</v>
      </c>
      <c r="EQ180" s="118">
        <f>SUM(ER180,ET180)</f>
        <v>5339.0869999999995</v>
      </c>
      <c r="ER180" s="119">
        <f>SUM(ER177,ER170,ER162,ER156,ER151,ER140,ER126,ER120,ER110,ER104,ER97,ER90,ER84,ER77,ER70,ER64,ER57,ER51,ER44,ER38,ER14,ER11)</f>
        <v>1586.3889999999999</v>
      </c>
      <c r="ES180" s="120">
        <f>SUM(ES177,ES170,ES162,ES156,ES151,ES140,ES126,ES120,ES110,ES104,ES97,ES90,ES84,ES77,ES70,ES64,ES57,ES51,ES44,ES38,ES14,ES11)</f>
        <v>217.91499999999999</v>
      </c>
      <c r="ET180" s="121">
        <f>SUM(ET177,ET170,ET162,ET156,ET151,ET140,ET126,ET120,ET110,ET104,ET97,ET90,ET84,ET77,ET70,ET64,ET57,ET51,ET44,ET38,ET14,ET11)</f>
        <v>3752.6979999999999</v>
      </c>
    </row>
    <row r="181" spans="1:150" s="5" customFormat="1" ht="16.5" customHeight="1" x14ac:dyDescent="0.3">
      <c r="A181" s="73"/>
      <c r="B181" s="74" t="s">
        <v>2</v>
      </c>
      <c r="C181" s="75"/>
      <c r="D181" s="97"/>
      <c r="E181" s="122"/>
      <c r="F181" s="123"/>
      <c r="G181" s="124"/>
      <c r="H181" s="125"/>
      <c r="I181" s="122"/>
      <c r="J181" s="123"/>
      <c r="K181" s="124"/>
      <c r="L181" s="125"/>
      <c r="M181" s="122"/>
      <c r="N181" s="123"/>
      <c r="O181" s="124"/>
      <c r="P181" s="125"/>
      <c r="Q181" s="122"/>
      <c r="R181" s="123"/>
      <c r="S181" s="124"/>
      <c r="T181" s="125"/>
      <c r="U181" s="122"/>
      <c r="V181" s="123"/>
      <c r="W181" s="124"/>
      <c r="X181" s="125"/>
      <c r="Y181" s="122"/>
      <c r="Z181" s="123"/>
      <c r="AA181" s="124"/>
      <c r="AB181" s="125"/>
      <c r="AC181" s="122"/>
      <c r="AD181" s="123"/>
      <c r="AE181" s="124"/>
      <c r="AF181" s="125"/>
      <c r="AG181" s="122"/>
      <c r="AH181" s="123"/>
      <c r="AI181" s="124"/>
      <c r="AJ181" s="125"/>
      <c r="AK181" s="122"/>
      <c r="AL181" s="123"/>
      <c r="AM181" s="124"/>
      <c r="AN181" s="125"/>
      <c r="AO181" s="122"/>
      <c r="AP181" s="123"/>
      <c r="AQ181" s="124"/>
      <c r="AR181" s="125"/>
      <c r="AS181" s="122"/>
      <c r="AT181" s="123"/>
      <c r="AU181" s="124"/>
      <c r="AV181" s="125"/>
      <c r="AW181" s="122"/>
      <c r="AX181" s="123"/>
      <c r="AY181" s="124"/>
      <c r="AZ181" s="125"/>
      <c r="BA181" s="122"/>
      <c r="BB181" s="123"/>
      <c r="BC181" s="124"/>
      <c r="BD181" s="125"/>
      <c r="BE181" s="122"/>
      <c r="BF181" s="123"/>
      <c r="BG181" s="124"/>
      <c r="BH181" s="125"/>
      <c r="BI181" s="122"/>
      <c r="BJ181" s="123"/>
      <c r="BK181" s="124"/>
      <c r="BL181" s="125"/>
      <c r="BM181" s="122"/>
      <c r="BN181" s="123"/>
      <c r="BO181" s="124"/>
      <c r="BP181" s="125"/>
      <c r="BQ181" s="122"/>
      <c r="BR181" s="123"/>
      <c r="BS181" s="124"/>
      <c r="BT181" s="125"/>
      <c r="BU181" s="122"/>
      <c r="BV181" s="123"/>
      <c r="BW181" s="124"/>
      <c r="BX181" s="125"/>
      <c r="BY181" s="190"/>
      <c r="BZ181" s="191"/>
      <c r="CA181" s="192"/>
      <c r="CB181" s="193"/>
      <c r="CC181" s="190"/>
      <c r="CD181" s="191"/>
      <c r="CE181" s="192"/>
      <c r="CF181" s="193"/>
      <c r="CG181" s="122"/>
      <c r="CH181" s="123"/>
      <c r="CI181" s="124"/>
      <c r="CJ181" s="125"/>
      <c r="CK181" s="122"/>
      <c r="CL181" s="123"/>
      <c r="CM181" s="124"/>
      <c r="CN181" s="125"/>
      <c r="CO181" s="190"/>
      <c r="CP181" s="191"/>
      <c r="CQ181" s="192"/>
      <c r="CR181" s="193"/>
      <c r="CS181" s="190"/>
      <c r="CT181" s="191"/>
      <c r="CU181" s="192"/>
      <c r="CV181" s="193"/>
      <c r="CW181" s="122"/>
      <c r="CX181" s="123"/>
      <c r="CY181" s="124"/>
      <c r="CZ181" s="125"/>
      <c r="DA181" s="122"/>
      <c r="DB181" s="123"/>
      <c r="DC181" s="124"/>
      <c r="DD181" s="125"/>
      <c r="DE181" s="190"/>
      <c r="DF181" s="191"/>
      <c r="DG181" s="192"/>
      <c r="DH181" s="193"/>
      <c r="DI181" s="190"/>
      <c r="DJ181" s="191"/>
      <c r="DK181" s="192"/>
      <c r="DL181" s="193"/>
      <c r="DM181" s="122"/>
      <c r="DN181" s="123"/>
      <c r="DO181" s="124"/>
      <c r="DP181" s="125"/>
      <c r="DQ181" s="122"/>
      <c r="DR181" s="123"/>
      <c r="DS181" s="124"/>
      <c r="DT181" s="125"/>
      <c r="DU181" s="190"/>
      <c r="DV181" s="191"/>
      <c r="DW181" s="192"/>
      <c r="DX181" s="193"/>
      <c r="DY181" s="190"/>
      <c r="DZ181" s="191"/>
      <c r="EA181" s="192"/>
      <c r="EB181" s="193"/>
      <c r="EC181" s="122"/>
      <c r="ED181" s="123"/>
      <c r="EE181" s="124"/>
      <c r="EF181" s="125"/>
      <c r="EG181" s="122"/>
      <c r="EH181" s="123"/>
      <c r="EI181" s="124"/>
      <c r="EJ181" s="125"/>
      <c r="EK181" s="194">
        <f t="shared" si="1402"/>
        <v>0</v>
      </c>
      <c r="EL181" s="194">
        <f t="shared" si="1403"/>
        <v>0</v>
      </c>
      <c r="EM181" s="122"/>
      <c r="EN181" s="123"/>
      <c r="EO181" s="124"/>
      <c r="EP181" s="125"/>
      <c r="EQ181" s="122"/>
      <c r="ER181" s="123"/>
      <c r="ES181" s="124"/>
      <c r="ET181" s="125"/>
    </row>
    <row r="182" spans="1:150" s="5" customFormat="1" ht="17.25" hidden="1" customHeight="1" x14ac:dyDescent="0.3">
      <c r="A182" s="22"/>
      <c r="B182" s="63" t="s">
        <v>179</v>
      </c>
      <c r="C182" s="64"/>
      <c r="D182" s="98"/>
      <c r="E182" s="105">
        <v>0</v>
      </c>
      <c r="F182" s="106"/>
      <c r="G182" s="107"/>
      <c r="H182" s="108"/>
      <c r="I182" s="105">
        <f>J182+L182</f>
        <v>0</v>
      </c>
      <c r="J182" s="106"/>
      <c r="K182" s="107"/>
      <c r="L182" s="108"/>
      <c r="M182" s="105">
        <v>0</v>
      </c>
      <c r="N182" s="106"/>
      <c r="O182" s="107"/>
      <c r="P182" s="108"/>
      <c r="Q182" s="105">
        <f>R182+T182</f>
        <v>0</v>
      </c>
      <c r="R182" s="106"/>
      <c r="S182" s="107"/>
      <c r="T182" s="108"/>
      <c r="U182" s="105">
        <v>0</v>
      </c>
      <c r="V182" s="106"/>
      <c r="W182" s="107"/>
      <c r="X182" s="108"/>
      <c r="Y182" s="105">
        <f>Z182+AB182</f>
        <v>0</v>
      </c>
      <c r="Z182" s="106"/>
      <c r="AA182" s="107"/>
      <c r="AB182" s="108"/>
      <c r="AC182" s="105">
        <v>0</v>
      </c>
      <c r="AD182" s="106"/>
      <c r="AE182" s="107"/>
      <c r="AF182" s="108"/>
      <c r="AG182" s="105">
        <f>AH182+AJ182</f>
        <v>0</v>
      </c>
      <c r="AH182" s="106"/>
      <c r="AI182" s="107"/>
      <c r="AJ182" s="108"/>
      <c r="AK182" s="105">
        <v>0</v>
      </c>
      <c r="AL182" s="106"/>
      <c r="AM182" s="107"/>
      <c r="AN182" s="108"/>
      <c r="AO182" s="105">
        <f>AP182+AR182</f>
        <v>0</v>
      </c>
      <c r="AP182" s="106"/>
      <c r="AQ182" s="107"/>
      <c r="AR182" s="108"/>
      <c r="AS182" s="105">
        <v>0</v>
      </c>
      <c r="AT182" s="106"/>
      <c r="AU182" s="107"/>
      <c r="AV182" s="108"/>
      <c r="AW182" s="105">
        <f>AX182+AZ182</f>
        <v>0</v>
      </c>
      <c r="AX182" s="106"/>
      <c r="AY182" s="107"/>
      <c r="AZ182" s="108"/>
      <c r="BA182" s="105">
        <v>0</v>
      </c>
      <c r="BB182" s="106"/>
      <c r="BC182" s="107"/>
      <c r="BD182" s="108"/>
      <c r="BE182" s="105">
        <f>BF182+BH182</f>
        <v>0</v>
      </c>
      <c r="BF182" s="106"/>
      <c r="BG182" s="107"/>
      <c r="BH182" s="108"/>
      <c r="BI182" s="105">
        <v>0</v>
      </c>
      <c r="BJ182" s="106"/>
      <c r="BK182" s="107"/>
      <c r="BL182" s="108"/>
      <c r="BM182" s="105">
        <f>BN182+BP182</f>
        <v>0</v>
      </c>
      <c r="BN182" s="106"/>
      <c r="BO182" s="107"/>
      <c r="BP182" s="108"/>
      <c r="BQ182" s="105">
        <v>0</v>
      </c>
      <c r="BR182" s="106"/>
      <c r="BS182" s="107"/>
      <c r="BT182" s="108"/>
      <c r="BU182" s="105">
        <f>BV182+BX182</f>
        <v>0</v>
      </c>
      <c r="BV182" s="106"/>
      <c r="BW182" s="107"/>
      <c r="BX182" s="108"/>
      <c r="BY182" s="164">
        <v>0</v>
      </c>
      <c r="BZ182" s="147"/>
      <c r="CA182" s="161"/>
      <c r="CB182" s="162"/>
      <c r="CC182" s="164">
        <f>CD182+CF182</f>
        <v>0</v>
      </c>
      <c r="CD182" s="147"/>
      <c r="CE182" s="161"/>
      <c r="CF182" s="162"/>
      <c r="CG182" s="105">
        <v>0</v>
      </c>
      <c r="CH182" s="106"/>
      <c r="CI182" s="107"/>
      <c r="CJ182" s="108"/>
      <c r="CK182" s="105">
        <f>CL182+CN182</f>
        <v>0</v>
      </c>
      <c r="CL182" s="106"/>
      <c r="CM182" s="107"/>
      <c r="CN182" s="108"/>
      <c r="CO182" s="164">
        <v>0</v>
      </c>
      <c r="CP182" s="147"/>
      <c r="CQ182" s="161"/>
      <c r="CR182" s="162"/>
      <c r="CS182" s="164">
        <f>CT182+CV182</f>
        <v>0</v>
      </c>
      <c r="CT182" s="147"/>
      <c r="CU182" s="161"/>
      <c r="CV182" s="162"/>
      <c r="CW182" s="105">
        <v>0</v>
      </c>
      <c r="CX182" s="106"/>
      <c r="CY182" s="107"/>
      <c r="CZ182" s="108"/>
      <c r="DA182" s="105">
        <f>DB182+DD182</f>
        <v>0</v>
      </c>
      <c r="DB182" s="106"/>
      <c r="DC182" s="107"/>
      <c r="DD182" s="108"/>
      <c r="DE182" s="164">
        <v>0</v>
      </c>
      <c r="DF182" s="147"/>
      <c r="DG182" s="161"/>
      <c r="DH182" s="162"/>
      <c r="DI182" s="164">
        <f>DJ182+DL182</f>
        <v>0</v>
      </c>
      <c r="DJ182" s="147"/>
      <c r="DK182" s="161"/>
      <c r="DL182" s="162"/>
      <c r="DM182" s="105">
        <v>0</v>
      </c>
      <c r="DN182" s="106"/>
      <c r="DO182" s="107"/>
      <c r="DP182" s="108"/>
      <c r="DQ182" s="105">
        <f>DR182+DT182</f>
        <v>0</v>
      </c>
      <c r="DR182" s="106"/>
      <c r="DS182" s="107"/>
      <c r="DT182" s="108"/>
      <c r="DU182" s="164">
        <v>0</v>
      </c>
      <c r="DV182" s="147"/>
      <c r="DW182" s="161"/>
      <c r="DX182" s="162"/>
      <c r="DY182" s="164">
        <f>DZ182+EB182</f>
        <v>0</v>
      </c>
      <c r="DZ182" s="147"/>
      <c r="EA182" s="161"/>
      <c r="EB182" s="162"/>
      <c r="EC182" s="105">
        <v>0</v>
      </c>
      <c r="ED182" s="106"/>
      <c r="EE182" s="107"/>
      <c r="EF182" s="108"/>
      <c r="EG182" s="105">
        <f>EH182+EJ182</f>
        <v>0</v>
      </c>
      <c r="EH182" s="106"/>
      <c r="EI182" s="107"/>
      <c r="EJ182" s="108"/>
      <c r="EK182" s="153">
        <f t="shared" si="1402"/>
        <v>0</v>
      </c>
      <c r="EL182" s="153">
        <f t="shared" si="1403"/>
        <v>0</v>
      </c>
      <c r="EM182" s="105">
        <v>0</v>
      </c>
      <c r="EN182" s="106"/>
      <c r="EO182" s="107"/>
      <c r="EP182" s="108"/>
      <c r="EQ182" s="105">
        <f>ER182+ET182</f>
        <v>0</v>
      </c>
      <c r="ER182" s="106"/>
      <c r="ES182" s="107"/>
      <c r="ET182" s="108"/>
    </row>
    <row r="183" spans="1:150" s="5" customFormat="1" ht="17.25" customHeight="1" x14ac:dyDescent="0.3">
      <c r="A183" s="26"/>
      <c r="B183" s="65" t="s">
        <v>196</v>
      </c>
      <c r="C183" s="66"/>
      <c r="D183" s="99"/>
      <c r="E183" s="114">
        <f>F183+H183</f>
        <v>324.79899999999998</v>
      </c>
      <c r="F183" s="106"/>
      <c r="G183" s="107"/>
      <c r="H183" s="117">
        <f>L183+80</f>
        <v>324.79899999999998</v>
      </c>
      <c r="I183" s="114">
        <f>J183+L183</f>
        <v>244.79900000000001</v>
      </c>
      <c r="J183" s="106"/>
      <c r="K183" s="107"/>
      <c r="L183" s="108">
        <v>244.79900000000001</v>
      </c>
      <c r="M183" s="114">
        <f>N183+P183</f>
        <v>0</v>
      </c>
      <c r="N183" s="106">
        <v>1</v>
      </c>
      <c r="O183" s="107"/>
      <c r="P183" s="117">
        <v>-1</v>
      </c>
      <c r="Q183" s="114">
        <f>R183+T183</f>
        <v>0</v>
      </c>
      <c r="R183" s="106">
        <v>1</v>
      </c>
      <c r="S183" s="107"/>
      <c r="T183" s="108">
        <v>-1</v>
      </c>
      <c r="U183" s="105">
        <f t="shared" ref="U183:U186" si="1914">SUM(V183,X183)</f>
        <v>324.79899999999998</v>
      </c>
      <c r="V183" s="106">
        <f t="shared" ref="V183:V186" si="1915">F183+N183</f>
        <v>1</v>
      </c>
      <c r="W183" s="107">
        <f t="shared" ref="W183:W186" si="1916">G183+O183</f>
        <v>0</v>
      </c>
      <c r="X183" s="108">
        <f t="shared" ref="X183:X186" si="1917">H183+P183</f>
        <v>323.79899999999998</v>
      </c>
      <c r="Y183" s="105">
        <f t="shared" ref="Y183:Y186" si="1918">SUM(Z183,AB183)</f>
        <v>244.79900000000001</v>
      </c>
      <c r="Z183" s="106">
        <f t="shared" ref="Z183:Z186" si="1919">J183+R183</f>
        <v>1</v>
      </c>
      <c r="AA183" s="107">
        <f t="shared" ref="AA183:AA186" si="1920">K183+S183</f>
        <v>0</v>
      </c>
      <c r="AB183" s="108">
        <f t="shared" ref="AB183:AB186" si="1921">L183+T183</f>
        <v>243.79900000000001</v>
      </c>
      <c r="AC183" s="114">
        <f>AD183+AF183</f>
        <v>0</v>
      </c>
      <c r="AD183" s="106"/>
      <c r="AE183" s="107"/>
      <c r="AF183" s="117"/>
      <c r="AG183" s="114">
        <f>AH183+AJ183</f>
        <v>0</v>
      </c>
      <c r="AH183" s="106"/>
      <c r="AI183" s="107"/>
      <c r="AJ183" s="108"/>
      <c r="AK183" s="105">
        <f t="shared" ref="AK183:AK186" si="1922">SUM(AL183,AN183)</f>
        <v>324.79899999999998</v>
      </c>
      <c r="AL183" s="106">
        <f t="shared" ref="AL183:AL186" si="1923">V183+AD183</f>
        <v>1</v>
      </c>
      <c r="AM183" s="107">
        <f t="shared" ref="AM183:AM186" si="1924">W183+AE183</f>
        <v>0</v>
      </c>
      <c r="AN183" s="108">
        <f t="shared" ref="AN183:AN186" si="1925">X183+AF183</f>
        <v>323.79899999999998</v>
      </c>
      <c r="AO183" s="105">
        <f t="shared" ref="AO183:AO186" si="1926">SUM(AP183,AR183)</f>
        <v>244.79900000000001</v>
      </c>
      <c r="AP183" s="106">
        <f t="shared" ref="AP183:AP186" si="1927">Z183+AH183</f>
        <v>1</v>
      </c>
      <c r="AQ183" s="107">
        <f t="shared" ref="AQ183:AQ186" si="1928">AA183+AI183</f>
        <v>0</v>
      </c>
      <c r="AR183" s="108">
        <f t="shared" ref="AR183:AR186" si="1929">AB183+AJ183</f>
        <v>243.79900000000001</v>
      </c>
      <c r="AS183" s="114">
        <f>AT183+AV183</f>
        <v>0</v>
      </c>
      <c r="AT183" s="106"/>
      <c r="AU183" s="107"/>
      <c r="AV183" s="117"/>
      <c r="AW183" s="114">
        <f>AX183+AZ183</f>
        <v>0</v>
      </c>
      <c r="AX183" s="106"/>
      <c r="AY183" s="107"/>
      <c r="AZ183" s="108"/>
      <c r="BA183" s="105">
        <f t="shared" ref="BA183:BA186" si="1930">SUM(BB183,BD183)</f>
        <v>324.79899999999998</v>
      </c>
      <c r="BB183" s="106">
        <f t="shared" ref="BB183:BB186" si="1931">AL183+AT183</f>
        <v>1</v>
      </c>
      <c r="BC183" s="107">
        <f t="shared" ref="BC183:BC186" si="1932">AM183+AU183</f>
        <v>0</v>
      </c>
      <c r="BD183" s="108">
        <f t="shared" ref="BD183:BD186" si="1933">AN183+AV183</f>
        <v>323.79899999999998</v>
      </c>
      <c r="BE183" s="105">
        <f t="shared" ref="BE183:BE186" si="1934">SUM(BF183,BH183)</f>
        <v>244.79900000000001</v>
      </c>
      <c r="BF183" s="106">
        <f t="shared" ref="BF183:BF186" si="1935">AP183+AX183</f>
        <v>1</v>
      </c>
      <c r="BG183" s="107">
        <f t="shared" ref="BG183:BG186" si="1936">AQ183+AY183</f>
        <v>0</v>
      </c>
      <c r="BH183" s="108">
        <f t="shared" ref="BH183:BH186" si="1937">AR183+AZ183</f>
        <v>243.79900000000001</v>
      </c>
      <c r="BI183" s="114">
        <f>BJ183+BL183</f>
        <v>0</v>
      </c>
      <c r="BJ183" s="106"/>
      <c r="BK183" s="107"/>
      <c r="BL183" s="117"/>
      <c r="BM183" s="114">
        <f>BN183+BP183</f>
        <v>0</v>
      </c>
      <c r="BN183" s="106"/>
      <c r="BO183" s="107"/>
      <c r="BP183" s="108"/>
      <c r="BQ183" s="105">
        <f t="shared" ref="BQ183:BQ186" si="1938">SUM(BR183,BT183)</f>
        <v>324.79899999999998</v>
      </c>
      <c r="BR183" s="106">
        <f t="shared" ref="BR183:BR186" si="1939">BB183+BJ183</f>
        <v>1</v>
      </c>
      <c r="BS183" s="107">
        <f t="shared" ref="BS183:BS186" si="1940">BC183+BK183</f>
        <v>0</v>
      </c>
      <c r="BT183" s="108">
        <f t="shared" ref="BT183:BT186" si="1941">BD183+BL183</f>
        <v>323.79899999999998</v>
      </c>
      <c r="BU183" s="105">
        <f t="shared" ref="BU183:BU186" si="1942">SUM(BV183,BX183)</f>
        <v>244.79900000000001</v>
      </c>
      <c r="BV183" s="106">
        <f t="shared" ref="BV183:BV186" si="1943">BF183+BN183</f>
        <v>1</v>
      </c>
      <c r="BW183" s="107">
        <f t="shared" ref="BW183:BW186" si="1944">BG183+BO183</f>
        <v>0</v>
      </c>
      <c r="BX183" s="108">
        <f t="shared" ref="BX183:BX186" si="1945">BH183+BP183</f>
        <v>243.79900000000001</v>
      </c>
      <c r="BY183" s="180">
        <f>BZ183+CB183</f>
        <v>0</v>
      </c>
      <c r="BZ183" s="147"/>
      <c r="CA183" s="161"/>
      <c r="CB183" s="183"/>
      <c r="CC183" s="180">
        <f>CD183+CF183</f>
        <v>0</v>
      </c>
      <c r="CD183" s="147"/>
      <c r="CE183" s="161"/>
      <c r="CF183" s="162"/>
      <c r="CG183" s="105">
        <f t="shared" ref="CG183:CG186" si="1946">SUM(CH183,CJ183)</f>
        <v>324.79899999999998</v>
      </c>
      <c r="CH183" s="106">
        <f t="shared" ref="CH183:CH186" si="1947">BR183+BZ183</f>
        <v>1</v>
      </c>
      <c r="CI183" s="107">
        <f t="shared" ref="CI183:CI186" si="1948">BS183+CA183</f>
        <v>0</v>
      </c>
      <c r="CJ183" s="108">
        <f t="shared" ref="CJ183:CJ186" si="1949">BT183+CB183</f>
        <v>323.79899999999998</v>
      </c>
      <c r="CK183" s="105">
        <f t="shared" ref="CK183:CK186" si="1950">SUM(CL183,CN183)</f>
        <v>244.79900000000001</v>
      </c>
      <c r="CL183" s="106">
        <f t="shared" ref="CL183:CL186" si="1951">BV183+CD183</f>
        <v>1</v>
      </c>
      <c r="CM183" s="107">
        <f t="shared" ref="CM183:CM186" si="1952">BW183+CE183</f>
        <v>0</v>
      </c>
      <c r="CN183" s="108">
        <f t="shared" ref="CN183:CN186" si="1953">BX183+CF183</f>
        <v>243.79900000000001</v>
      </c>
      <c r="CO183" s="180">
        <f>CP183+CR183</f>
        <v>0</v>
      </c>
      <c r="CP183" s="147">
        <v>0.24</v>
      </c>
      <c r="CQ183" s="161"/>
      <c r="CR183" s="162">
        <v>-0.24</v>
      </c>
      <c r="CS183" s="180">
        <f>CT183+CV183</f>
        <v>0</v>
      </c>
      <c r="CT183" s="147">
        <v>0.24</v>
      </c>
      <c r="CU183" s="161"/>
      <c r="CV183" s="162">
        <v>-0.24</v>
      </c>
      <c r="CW183" s="105">
        <f t="shared" ref="CW183:CW186" si="1954">SUM(CX183,CZ183)</f>
        <v>324.79899999999998</v>
      </c>
      <c r="CX183" s="106">
        <f>CH183+CP183</f>
        <v>1.24</v>
      </c>
      <c r="CY183" s="107">
        <f t="shared" ref="CY183:CY186" si="1955">CI183+CQ183</f>
        <v>0</v>
      </c>
      <c r="CZ183" s="108">
        <f t="shared" ref="CZ183:CZ186" si="1956">CJ183+CR183</f>
        <v>323.55899999999997</v>
      </c>
      <c r="DA183" s="105">
        <f t="shared" ref="DA183:DA186" si="1957">SUM(DB183,DD183)</f>
        <v>244.79900000000001</v>
      </c>
      <c r="DB183" s="106">
        <f t="shared" ref="DB183:DB186" si="1958">CL183+CT183</f>
        <v>1.24</v>
      </c>
      <c r="DC183" s="107">
        <f t="shared" ref="DC183:DC186" si="1959">CM183+CU183</f>
        <v>0</v>
      </c>
      <c r="DD183" s="108">
        <f t="shared" ref="DD183:DD186" si="1960">CN183+CV183</f>
        <v>243.559</v>
      </c>
      <c r="DE183" s="180">
        <f>DF183+DH183</f>
        <v>0</v>
      </c>
      <c r="DF183" s="147"/>
      <c r="DG183" s="161"/>
      <c r="DH183" s="162"/>
      <c r="DI183" s="180">
        <f>DJ183+DL183</f>
        <v>0</v>
      </c>
      <c r="DJ183" s="147"/>
      <c r="DK183" s="161"/>
      <c r="DL183" s="162"/>
      <c r="DM183" s="105">
        <f t="shared" ref="DM183:DM186" si="1961">SUM(DN183,DP183)</f>
        <v>324.79899999999998</v>
      </c>
      <c r="DN183" s="106">
        <f>CX183+DF183</f>
        <v>1.24</v>
      </c>
      <c r="DO183" s="107">
        <f t="shared" ref="DO183:DO186" si="1962">CY183+DG183</f>
        <v>0</v>
      </c>
      <c r="DP183" s="108">
        <f t="shared" ref="DP183:DP186" si="1963">CZ183+DH183</f>
        <v>323.55899999999997</v>
      </c>
      <c r="DQ183" s="105">
        <f t="shared" ref="DQ183:DQ186" si="1964">SUM(DR183,DT183)</f>
        <v>244.79900000000001</v>
      </c>
      <c r="DR183" s="106">
        <f t="shared" ref="DR183:DR186" si="1965">DB183+DJ183</f>
        <v>1.24</v>
      </c>
      <c r="DS183" s="107">
        <f t="shared" ref="DS183:DS186" si="1966">DC183+DK183</f>
        <v>0</v>
      </c>
      <c r="DT183" s="108">
        <f t="shared" ref="DT183:DT186" si="1967">DD183+DL183</f>
        <v>243.559</v>
      </c>
      <c r="DU183" s="180">
        <f>DV183+DX183</f>
        <v>0</v>
      </c>
      <c r="DV183" s="147"/>
      <c r="DW183" s="161"/>
      <c r="DX183" s="162"/>
      <c r="DY183" s="180">
        <f>DZ183+EB183</f>
        <v>0</v>
      </c>
      <c r="DZ183" s="147"/>
      <c r="EA183" s="161"/>
      <c r="EB183" s="162"/>
      <c r="EC183" s="105">
        <f t="shared" ref="EC183:EC186" si="1968">SUM(ED183,EF183)</f>
        <v>324.79899999999998</v>
      </c>
      <c r="ED183" s="106">
        <f>DN183+DV183</f>
        <v>1.24</v>
      </c>
      <c r="EE183" s="107">
        <f t="shared" ref="EE183:EE186" si="1969">DO183+DW183</f>
        <v>0</v>
      </c>
      <c r="EF183" s="108">
        <f t="shared" ref="EF183:EF186" si="1970">DP183+DX183</f>
        <v>323.55899999999997</v>
      </c>
      <c r="EG183" s="105">
        <f t="shared" ref="EG183:EG186" si="1971">SUM(EH183,EJ183)</f>
        <v>244.79900000000001</v>
      </c>
      <c r="EH183" s="106">
        <f t="shared" ref="EH183:EH186" si="1972">DR183+DZ183</f>
        <v>1.24</v>
      </c>
      <c r="EI183" s="107">
        <f t="shared" ref="EI183:EI186" si="1973">DS183+EA183</f>
        <v>0</v>
      </c>
      <c r="EJ183" s="108">
        <f t="shared" ref="EJ183:EJ186" si="1974">DT183+EB183</f>
        <v>243.559</v>
      </c>
      <c r="EK183" s="184">
        <f t="shared" si="1402"/>
        <v>83.135000000000048</v>
      </c>
      <c r="EL183" s="184">
        <f t="shared" si="1403"/>
        <v>83.135000000000048</v>
      </c>
      <c r="EM183" s="114">
        <f>EN183+EP183</f>
        <v>407.93400000000003</v>
      </c>
      <c r="EN183" s="147">
        <f>ER183</f>
        <v>1.9339999999999999</v>
      </c>
      <c r="EO183" s="107"/>
      <c r="EP183" s="117">
        <f>ET183+61</f>
        <v>406</v>
      </c>
      <c r="EQ183" s="114">
        <f>ER183+ET183</f>
        <v>346.93400000000003</v>
      </c>
      <c r="ER183" s="106">
        <v>1.9339999999999999</v>
      </c>
      <c r="ES183" s="107"/>
      <c r="ET183" s="108">
        <f>346.934-1.934</f>
        <v>345</v>
      </c>
    </row>
    <row r="184" spans="1:150" s="5" customFormat="1" ht="21" customHeight="1" thickBot="1" x14ac:dyDescent="0.35">
      <c r="A184" s="22"/>
      <c r="B184" s="63" t="s">
        <v>195</v>
      </c>
      <c r="C184" s="64"/>
      <c r="D184" s="98"/>
      <c r="E184" s="114">
        <f>F184+H184</f>
        <v>6.0010000000000003</v>
      </c>
      <c r="F184" s="115">
        <f>J184</f>
        <v>0</v>
      </c>
      <c r="G184" s="116"/>
      <c r="H184" s="117">
        <f>L184</f>
        <v>6.0010000000000003</v>
      </c>
      <c r="I184" s="114">
        <f>J184+L184</f>
        <v>6.0010000000000003</v>
      </c>
      <c r="J184" s="115"/>
      <c r="K184" s="116"/>
      <c r="L184" s="117">
        <v>6.0010000000000003</v>
      </c>
      <c r="M184" s="114">
        <f>N184+P184</f>
        <v>0</v>
      </c>
      <c r="N184" s="115">
        <f>R184</f>
        <v>0</v>
      </c>
      <c r="O184" s="116"/>
      <c r="P184" s="117">
        <f>T184</f>
        <v>0</v>
      </c>
      <c r="Q184" s="114">
        <f>R184+T184</f>
        <v>0</v>
      </c>
      <c r="R184" s="115"/>
      <c r="S184" s="116"/>
      <c r="T184" s="117"/>
      <c r="U184" s="114">
        <f t="shared" si="1914"/>
        <v>6.0010000000000003</v>
      </c>
      <c r="V184" s="115">
        <f t="shared" si="1915"/>
        <v>0</v>
      </c>
      <c r="W184" s="116">
        <f t="shared" si="1916"/>
        <v>0</v>
      </c>
      <c r="X184" s="117">
        <f t="shared" si="1917"/>
        <v>6.0010000000000003</v>
      </c>
      <c r="Y184" s="114">
        <f t="shared" si="1918"/>
        <v>6.0010000000000003</v>
      </c>
      <c r="Z184" s="115">
        <f t="shared" si="1919"/>
        <v>0</v>
      </c>
      <c r="AA184" s="116">
        <f t="shared" si="1920"/>
        <v>0</v>
      </c>
      <c r="AB184" s="117">
        <f t="shared" si="1921"/>
        <v>6.0010000000000003</v>
      </c>
      <c r="AC184" s="114">
        <f>AD184+AF184</f>
        <v>0</v>
      </c>
      <c r="AD184" s="115">
        <f>AH184</f>
        <v>0</v>
      </c>
      <c r="AE184" s="116"/>
      <c r="AF184" s="117">
        <f>AJ184</f>
        <v>0</v>
      </c>
      <c r="AG184" s="114">
        <f>AH184+AJ184</f>
        <v>0</v>
      </c>
      <c r="AH184" s="115"/>
      <c r="AI184" s="116"/>
      <c r="AJ184" s="117"/>
      <c r="AK184" s="114">
        <f t="shared" si="1922"/>
        <v>6.0010000000000003</v>
      </c>
      <c r="AL184" s="115">
        <f t="shared" si="1923"/>
        <v>0</v>
      </c>
      <c r="AM184" s="116">
        <f t="shared" si="1924"/>
        <v>0</v>
      </c>
      <c r="AN184" s="117">
        <f t="shared" si="1925"/>
        <v>6.0010000000000003</v>
      </c>
      <c r="AO184" s="114">
        <f t="shared" si="1926"/>
        <v>6.0010000000000003</v>
      </c>
      <c r="AP184" s="115">
        <f t="shared" si="1927"/>
        <v>0</v>
      </c>
      <c r="AQ184" s="116">
        <f t="shared" si="1928"/>
        <v>0</v>
      </c>
      <c r="AR184" s="117">
        <f t="shared" si="1929"/>
        <v>6.0010000000000003</v>
      </c>
      <c r="AS184" s="114">
        <f>AT184+AV184</f>
        <v>0</v>
      </c>
      <c r="AT184" s="115">
        <f>AX184</f>
        <v>0</v>
      </c>
      <c r="AU184" s="116"/>
      <c r="AV184" s="117">
        <f>AZ184</f>
        <v>0</v>
      </c>
      <c r="AW184" s="114">
        <f>AX184+AZ184</f>
        <v>0</v>
      </c>
      <c r="AX184" s="115"/>
      <c r="AY184" s="116"/>
      <c r="AZ184" s="117"/>
      <c r="BA184" s="114">
        <f t="shared" si="1930"/>
        <v>6.0010000000000003</v>
      </c>
      <c r="BB184" s="115">
        <f t="shared" si="1931"/>
        <v>0</v>
      </c>
      <c r="BC184" s="116">
        <f t="shared" si="1932"/>
        <v>0</v>
      </c>
      <c r="BD184" s="117">
        <f t="shared" si="1933"/>
        <v>6.0010000000000003</v>
      </c>
      <c r="BE184" s="114">
        <f t="shared" si="1934"/>
        <v>6.0010000000000003</v>
      </c>
      <c r="BF184" s="115">
        <f t="shared" si="1935"/>
        <v>0</v>
      </c>
      <c r="BG184" s="116">
        <f t="shared" si="1936"/>
        <v>0</v>
      </c>
      <c r="BH184" s="117">
        <f t="shared" si="1937"/>
        <v>6.0010000000000003</v>
      </c>
      <c r="BI184" s="114">
        <f>BJ184+BL184</f>
        <v>0</v>
      </c>
      <c r="BJ184" s="115">
        <f>BN184</f>
        <v>0</v>
      </c>
      <c r="BK184" s="116"/>
      <c r="BL184" s="117">
        <f>BP184</f>
        <v>0</v>
      </c>
      <c r="BM184" s="114">
        <f>BN184+BP184</f>
        <v>0</v>
      </c>
      <c r="BN184" s="115"/>
      <c r="BO184" s="116"/>
      <c r="BP184" s="117"/>
      <c r="BQ184" s="114">
        <f t="shared" si="1938"/>
        <v>6.0010000000000003</v>
      </c>
      <c r="BR184" s="115">
        <f t="shared" si="1939"/>
        <v>0</v>
      </c>
      <c r="BS184" s="116">
        <f t="shared" si="1940"/>
        <v>0</v>
      </c>
      <c r="BT184" s="117">
        <f t="shared" si="1941"/>
        <v>6.0010000000000003</v>
      </c>
      <c r="BU184" s="114">
        <f t="shared" si="1942"/>
        <v>6.0010000000000003</v>
      </c>
      <c r="BV184" s="115">
        <f t="shared" si="1943"/>
        <v>0</v>
      </c>
      <c r="BW184" s="116">
        <f t="shared" si="1944"/>
        <v>0</v>
      </c>
      <c r="BX184" s="117">
        <f t="shared" si="1945"/>
        <v>6.0010000000000003</v>
      </c>
      <c r="BY184" s="114">
        <f>BZ184+CB184</f>
        <v>0</v>
      </c>
      <c r="BZ184" s="115">
        <f>CD184</f>
        <v>0</v>
      </c>
      <c r="CA184" s="116"/>
      <c r="CB184" s="117">
        <f>CF184</f>
        <v>0</v>
      </c>
      <c r="CC184" s="114">
        <f>CD184+CF184</f>
        <v>0</v>
      </c>
      <c r="CD184" s="115"/>
      <c r="CE184" s="116"/>
      <c r="CF184" s="117"/>
      <c r="CG184" s="114">
        <f t="shared" si="1946"/>
        <v>6.0010000000000003</v>
      </c>
      <c r="CH184" s="115">
        <f t="shared" si="1947"/>
        <v>0</v>
      </c>
      <c r="CI184" s="116">
        <f t="shared" si="1948"/>
        <v>0</v>
      </c>
      <c r="CJ184" s="117">
        <f t="shared" si="1949"/>
        <v>6.0010000000000003</v>
      </c>
      <c r="CK184" s="114">
        <f t="shared" si="1950"/>
        <v>6.0010000000000003</v>
      </c>
      <c r="CL184" s="115">
        <f t="shared" si="1951"/>
        <v>0</v>
      </c>
      <c r="CM184" s="116">
        <f t="shared" si="1952"/>
        <v>0</v>
      </c>
      <c r="CN184" s="117">
        <f t="shared" si="1953"/>
        <v>6.0010000000000003</v>
      </c>
      <c r="CO184" s="114">
        <f>CP184+CR184</f>
        <v>0</v>
      </c>
      <c r="CP184" s="115">
        <f>CT184</f>
        <v>0</v>
      </c>
      <c r="CQ184" s="116"/>
      <c r="CR184" s="117">
        <f>CV184</f>
        <v>0</v>
      </c>
      <c r="CS184" s="114">
        <f>CT184+CV184</f>
        <v>0</v>
      </c>
      <c r="CT184" s="115"/>
      <c r="CU184" s="116"/>
      <c r="CV184" s="117"/>
      <c r="CW184" s="114">
        <f t="shared" si="1954"/>
        <v>6.0010000000000003</v>
      </c>
      <c r="CX184" s="115">
        <f t="shared" ref="CX184:CX186" si="1975">CH184+CP184</f>
        <v>0</v>
      </c>
      <c r="CY184" s="116">
        <f t="shared" si="1955"/>
        <v>0</v>
      </c>
      <c r="CZ184" s="117">
        <f t="shared" si="1956"/>
        <v>6.0010000000000003</v>
      </c>
      <c r="DA184" s="114">
        <f t="shared" si="1957"/>
        <v>6.0010000000000003</v>
      </c>
      <c r="DB184" s="115">
        <f t="shared" si="1958"/>
        <v>0</v>
      </c>
      <c r="DC184" s="116">
        <f t="shared" si="1959"/>
        <v>0</v>
      </c>
      <c r="DD184" s="117">
        <f t="shared" si="1960"/>
        <v>6.0010000000000003</v>
      </c>
      <c r="DE184" s="114">
        <f>DF184+DH184</f>
        <v>0</v>
      </c>
      <c r="DF184" s="115">
        <f>DJ184</f>
        <v>0</v>
      </c>
      <c r="DG184" s="116"/>
      <c r="DH184" s="117">
        <f>DL184</f>
        <v>0</v>
      </c>
      <c r="DI184" s="114">
        <f>DJ184+DL184</f>
        <v>0</v>
      </c>
      <c r="DJ184" s="115"/>
      <c r="DK184" s="116"/>
      <c r="DL184" s="117"/>
      <c r="DM184" s="114">
        <f t="shared" si="1961"/>
        <v>6.0010000000000003</v>
      </c>
      <c r="DN184" s="115">
        <f t="shared" ref="DN184:DN186" si="1976">CX184+DF184</f>
        <v>0</v>
      </c>
      <c r="DO184" s="116">
        <f t="shared" si="1962"/>
        <v>0</v>
      </c>
      <c r="DP184" s="117">
        <f t="shared" si="1963"/>
        <v>6.0010000000000003</v>
      </c>
      <c r="DQ184" s="114">
        <f t="shared" si="1964"/>
        <v>6.0010000000000003</v>
      </c>
      <c r="DR184" s="115">
        <f t="shared" si="1965"/>
        <v>0</v>
      </c>
      <c r="DS184" s="116">
        <f t="shared" si="1966"/>
        <v>0</v>
      </c>
      <c r="DT184" s="117">
        <f t="shared" si="1967"/>
        <v>6.0010000000000003</v>
      </c>
      <c r="DU184" s="114">
        <f>DV184+DX184</f>
        <v>0</v>
      </c>
      <c r="DV184" s="115">
        <f>DZ184</f>
        <v>0</v>
      </c>
      <c r="DW184" s="116"/>
      <c r="DX184" s="117">
        <f>EB184</f>
        <v>0</v>
      </c>
      <c r="DY184" s="114">
        <f>DZ184+EB184</f>
        <v>0</v>
      </c>
      <c r="DZ184" s="115"/>
      <c r="EA184" s="116"/>
      <c r="EB184" s="117"/>
      <c r="EC184" s="114">
        <f t="shared" si="1968"/>
        <v>6.0010000000000003</v>
      </c>
      <c r="ED184" s="115">
        <f t="shared" ref="ED184:ED186" si="1977">DN184+DV184</f>
        <v>0</v>
      </c>
      <c r="EE184" s="116">
        <f t="shared" si="1969"/>
        <v>0</v>
      </c>
      <c r="EF184" s="117">
        <f t="shared" si="1970"/>
        <v>6.0010000000000003</v>
      </c>
      <c r="EG184" s="114">
        <f t="shared" si="1971"/>
        <v>6.0010000000000003</v>
      </c>
      <c r="EH184" s="115">
        <f t="shared" si="1972"/>
        <v>0</v>
      </c>
      <c r="EI184" s="116">
        <f t="shared" si="1973"/>
        <v>0</v>
      </c>
      <c r="EJ184" s="117">
        <f t="shared" si="1974"/>
        <v>6.0010000000000003</v>
      </c>
      <c r="EK184" s="184">
        <f t="shared" si="1402"/>
        <v>0.10400000000000009</v>
      </c>
      <c r="EL184" s="184">
        <f t="shared" si="1403"/>
        <v>0.10400000000000009</v>
      </c>
      <c r="EM184" s="114">
        <f>EN184+EP184</f>
        <v>6.1050000000000004</v>
      </c>
      <c r="EN184" s="115">
        <f>ER184</f>
        <v>6.1050000000000004</v>
      </c>
      <c r="EO184" s="116"/>
      <c r="EP184" s="117"/>
      <c r="EQ184" s="114">
        <f>ER184+ET184</f>
        <v>6.1050000000000004</v>
      </c>
      <c r="ER184" s="115">
        <v>6.1050000000000004</v>
      </c>
      <c r="ES184" s="116"/>
      <c r="ET184" s="117"/>
    </row>
    <row r="185" spans="1:150" s="5" customFormat="1" ht="21" hidden="1" customHeight="1" thickBot="1" x14ac:dyDescent="0.35">
      <c r="A185" s="21"/>
      <c r="B185" s="195"/>
      <c r="C185" s="196"/>
      <c r="D185" s="197"/>
      <c r="E185" s="114"/>
      <c r="F185" s="115"/>
      <c r="G185" s="116"/>
      <c r="H185" s="117"/>
      <c r="I185" s="114"/>
      <c r="J185" s="115"/>
      <c r="K185" s="116"/>
      <c r="L185" s="117"/>
      <c r="M185" s="114"/>
      <c r="N185" s="115"/>
      <c r="O185" s="116"/>
      <c r="P185" s="117"/>
      <c r="Q185" s="114"/>
      <c r="R185" s="115"/>
      <c r="S185" s="116"/>
      <c r="T185" s="117"/>
      <c r="U185" s="114"/>
      <c r="V185" s="115"/>
      <c r="W185" s="116"/>
      <c r="X185" s="117"/>
      <c r="Y185" s="114"/>
      <c r="Z185" s="115"/>
      <c r="AA185" s="116"/>
      <c r="AB185" s="117"/>
      <c r="AC185" s="114"/>
      <c r="AD185" s="115"/>
      <c r="AE185" s="116"/>
      <c r="AF185" s="117"/>
      <c r="AG185" s="114"/>
      <c r="AH185" s="115"/>
      <c r="AI185" s="116"/>
      <c r="AJ185" s="117"/>
      <c r="AK185" s="114"/>
      <c r="AL185" s="115"/>
      <c r="AM185" s="116"/>
      <c r="AN185" s="117"/>
      <c r="AO185" s="114"/>
      <c r="AP185" s="115"/>
      <c r="AQ185" s="116"/>
      <c r="AR185" s="117"/>
      <c r="AS185" s="114"/>
      <c r="AT185" s="115"/>
      <c r="AU185" s="116"/>
      <c r="AV185" s="117"/>
      <c r="AW185" s="114"/>
      <c r="AX185" s="115"/>
      <c r="AY185" s="116"/>
      <c r="AZ185" s="117"/>
      <c r="BA185" s="114"/>
      <c r="BB185" s="115"/>
      <c r="BC185" s="116"/>
      <c r="BD185" s="117"/>
      <c r="BE185" s="114"/>
      <c r="BF185" s="115"/>
      <c r="BG185" s="116"/>
      <c r="BH185" s="117"/>
      <c r="BI185" s="114"/>
      <c r="BJ185" s="115"/>
      <c r="BK185" s="116"/>
      <c r="BL185" s="117"/>
      <c r="BM185" s="114"/>
      <c r="BN185" s="115"/>
      <c r="BO185" s="116"/>
      <c r="BP185" s="117"/>
      <c r="BQ185" s="114"/>
      <c r="BR185" s="115"/>
      <c r="BS185" s="116"/>
      <c r="BT185" s="117"/>
      <c r="BU185" s="114"/>
      <c r="BV185" s="115"/>
      <c r="BW185" s="116"/>
      <c r="BX185" s="117"/>
      <c r="BY185" s="114"/>
      <c r="BZ185" s="115"/>
      <c r="CA185" s="116"/>
      <c r="CB185" s="117"/>
      <c r="CC185" s="114"/>
      <c r="CD185" s="115"/>
      <c r="CE185" s="116"/>
      <c r="CF185" s="117"/>
      <c r="CG185" s="114"/>
      <c r="CH185" s="115"/>
      <c r="CI185" s="116"/>
      <c r="CJ185" s="117"/>
      <c r="CK185" s="114"/>
      <c r="CL185" s="115"/>
      <c r="CM185" s="116"/>
      <c r="CN185" s="117"/>
      <c r="CO185" s="114"/>
      <c r="CP185" s="115"/>
      <c r="CQ185" s="116"/>
      <c r="CR185" s="117"/>
      <c r="CS185" s="114"/>
      <c r="CT185" s="115"/>
      <c r="CU185" s="116"/>
      <c r="CV185" s="117"/>
      <c r="CW185" s="114"/>
      <c r="CX185" s="115"/>
      <c r="CY185" s="116"/>
      <c r="CZ185" s="117"/>
      <c r="DA185" s="114"/>
      <c r="DB185" s="115"/>
      <c r="DC185" s="116"/>
      <c r="DD185" s="117"/>
      <c r="DE185" s="114"/>
      <c r="DF185" s="115"/>
      <c r="DG185" s="116"/>
      <c r="DH185" s="117"/>
      <c r="DI185" s="114"/>
      <c r="DJ185" s="115"/>
      <c r="DK185" s="116"/>
      <c r="DL185" s="117"/>
      <c r="DM185" s="114"/>
      <c r="DN185" s="115"/>
      <c r="DO185" s="116"/>
      <c r="DP185" s="117"/>
      <c r="DQ185" s="114"/>
      <c r="DR185" s="115"/>
      <c r="DS185" s="116"/>
      <c r="DT185" s="117"/>
      <c r="DU185" s="114"/>
      <c r="DV185" s="115"/>
      <c r="DW185" s="116"/>
      <c r="DX185" s="117"/>
      <c r="DY185" s="114"/>
      <c r="DZ185" s="115"/>
      <c r="EA185" s="116"/>
      <c r="EB185" s="117"/>
      <c r="EC185" s="114"/>
      <c r="ED185" s="115"/>
      <c r="EE185" s="116"/>
      <c r="EF185" s="117"/>
      <c r="EG185" s="198"/>
      <c r="EH185" s="199"/>
      <c r="EI185" s="200"/>
      <c r="EJ185" s="201"/>
      <c r="EK185" s="184"/>
      <c r="EL185" s="184"/>
      <c r="EM185" s="114"/>
      <c r="EN185" s="115"/>
      <c r="EO185" s="116"/>
      <c r="EP185" s="117"/>
      <c r="EQ185" s="114"/>
      <c r="ER185" s="115"/>
      <c r="ES185" s="116"/>
      <c r="ET185" s="117"/>
    </row>
    <row r="186" spans="1:150" s="5" customFormat="1" ht="26" customHeight="1" thickBot="1" x14ac:dyDescent="0.35">
      <c r="A186" s="76"/>
      <c r="B186" s="202" t="s">
        <v>176</v>
      </c>
      <c r="C186" s="71" t="s">
        <v>177</v>
      </c>
      <c r="D186" s="71"/>
      <c r="E186" s="118">
        <f>H186</f>
        <v>201.5</v>
      </c>
      <c r="F186" s="119"/>
      <c r="G186" s="120"/>
      <c r="H186" s="121">
        <v>201.5</v>
      </c>
      <c r="I186" s="118"/>
      <c r="J186" s="119"/>
      <c r="K186" s="120"/>
      <c r="L186" s="121"/>
      <c r="M186" s="118">
        <f>P186</f>
        <v>0</v>
      </c>
      <c r="N186" s="119"/>
      <c r="O186" s="120"/>
      <c r="P186" s="121"/>
      <c r="Q186" s="118"/>
      <c r="R186" s="119"/>
      <c r="S186" s="120"/>
      <c r="T186" s="121"/>
      <c r="U186" s="203">
        <f t="shared" si="1914"/>
        <v>201.5</v>
      </c>
      <c r="V186" s="119">
        <f t="shared" si="1915"/>
        <v>0</v>
      </c>
      <c r="W186" s="120">
        <f t="shared" si="1916"/>
        <v>0</v>
      </c>
      <c r="X186" s="121">
        <f t="shared" si="1917"/>
        <v>201.5</v>
      </c>
      <c r="Y186" s="118">
        <f t="shared" si="1918"/>
        <v>0</v>
      </c>
      <c r="Z186" s="119">
        <f t="shared" si="1919"/>
        <v>0</v>
      </c>
      <c r="AA186" s="120">
        <f t="shared" si="1920"/>
        <v>0</v>
      </c>
      <c r="AB186" s="121">
        <f t="shared" si="1921"/>
        <v>0</v>
      </c>
      <c r="AC186" s="118">
        <f>AF186</f>
        <v>0</v>
      </c>
      <c r="AD186" s="119"/>
      <c r="AE186" s="120"/>
      <c r="AF186" s="121"/>
      <c r="AG186" s="118"/>
      <c r="AH186" s="119"/>
      <c r="AI186" s="120"/>
      <c r="AJ186" s="121"/>
      <c r="AK186" s="203">
        <f t="shared" si="1922"/>
        <v>201.5</v>
      </c>
      <c r="AL186" s="119">
        <f t="shared" si="1923"/>
        <v>0</v>
      </c>
      <c r="AM186" s="120">
        <f t="shared" si="1924"/>
        <v>0</v>
      </c>
      <c r="AN186" s="121">
        <f t="shared" si="1925"/>
        <v>201.5</v>
      </c>
      <c r="AO186" s="118">
        <f t="shared" si="1926"/>
        <v>0</v>
      </c>
      <c r="AP186" s="119">
        <f t="shared" si="1927"/>
        <v>0</v>
      </c>
      <c r="AQ186" s="120">
        <f t="shared" si="1928"/>
        <v>0</v>
      </c>
      <c r="AR186" s="121">
        <f t="shared" si="1929"/>
        <v>0</v>
      </c>
      <c r="AS186" s="118">
        <f>AV186</f>
        <v>0</v>
      </c>
      <c r="AT186" s="119"/>
      <c r="AU186" s="120"/>
      <c r="AV186" s="121"/>
      <c r="AW186" s="118"/>
      <c r="AX186" s="119"/>
      <c r="AY186" s="120"/>
      <c r="AZ186" s="121"/>
      <c r="BA186" s="203">
        <f t="shared" si="1930"/>
        <v>201.5</v>
      </c>
      <c r="BB186" s="119">
        <f t="shared" si="1931"/>
        <v>0</v>
      </c>
      <c r="BC186" s="120">
        <f t="shared" si="1932"/>
        <v>0</v>
      </c>
      <c r="BD186" s="121">
        <f t="shared" si="1933"/>
        <v>201.5</v>
      </c>
      <c r="BE186" s="118">
        <f t="shared" si="1934"/>
        <v>0</v>
      </c>
      <c r="BF186" s="119">
        <f t="shared" si="1935"/>
        <v>0</v>
      </c>
      <c r="BG186" s="120">
        <f t="shared" si="1936"/>
        <v>0</v>
      </c>
      <c r="BH186" s="121">
        <f t="shared" si="1937"/>
        <v>0</v>
      </c>
      <c r="BI186" s="118">
        <f>BL186</f>
        <v>0</v>
      </c>
      <c r="BJ186" s="119"/>
      <c r="BK186" s="120"/>
      <c r="BL186" s="121"/>
      <c r="BM186" s="118"/>
      <c r="BN186" s="119"/>
      <c r="BO186" s="120"/>
      <c r="BP186" s="121"/>
      <c r="BQ186" s="203">
        <f t="shared" si="1938"/>
        <v>201.5</v>
      </c>
      <c r="BR186" s="119">
        <f t="shared" si="1939"/>
        <v>0</v>
      </c>
      <c r="BS186" s="120">
        <f t="shared" si="1940"/>
        <v>0</v>
      </c>
      <c r="BT186" s="121">
        <f t="shared" si="1941"/>
        <v>201.5</v>
      </c>
      <c r="BU186" s="118">
        <f t="shared" si="1942"/>
        <v>0</v>
      </c>
      <c r="BV186" s="119">
        <f t="shared" si="1943"/>
        <v>0</v>
      </c>
      <c r="BW186" s="120">
        <f t="shared" si="1944"/>
        <v>0</v>
      </c>
      <c r="BX186" s="121">
        <f t="shared" si="1945"/>
        <v>0</v>
      </c>
      <c r="BY186" s="118">
        <f>CB186</f>
        <v>0</v>
      </c>
      <c r="BZ186" s="119"/>
      <c r="CA186" s="120"/>
      <c r="CB186" s="121"/>
      <c r="CC186" s="118"/>
      <c r="CD186" s="119"/>
      <c r="CE186" s="120"/>
      <c r="CF186" s="121"/>
      <c r="CG186" s="203">
        <f t="shared" si="1946"/>
        <v>201.5</v>
      </c>
      <c r="CH186" s="119">
        <f t="shared" si="1947"/>
        <v>0</v>
      </c>
      <c r="CI186" s="120">
        <f t="shared" si="1948"/>
        <v>0</v>
      </c>
      <c r="CJ186" s="121">
        <f t="shared" si="1949"/>
        <v>201.5</v>
      </c>
      <c r="CK186" s="118">
        <f t="shared" si="1950"/>
        <v>0</v>
      </c>
      <c r="CL186" s="119">
        <f t="shared" si="1951"/>
        <v>0</v>
      </c>
      <c r="CM186" s="120">
        <f t="shared" si="1952"/>
        <v>0</v>
      </c>
      <c r="CN186" s="121">
        <f t="shared" si="1953"/>
        <v>0</v>
      </c>
      <c r="CO186" s="118">
        <f>CR186</f>
        <v>0</v>
      </c>
      <c r="CP186" s="119"/>
      <c r="CQ186" s="120"/>
      <c r="CR186" s="121"/>
      <c r="CS186" s="118"/>
      <c r="CT186" s="119"/>
      <c r="CU186" s="120"/>
      <c r="CV186" s="121"/>
      <c r="CW186" s="203">
        <f t="shared" si="1954"/>
        <v>201.5</v>
      </c>
      <c r="CX186" s="119">
        <f t="shared" si="1975"/>
        <v>0</v>
      </c>
      <c r="CY186" s="120">
        <f t="shared" si="1955"/>
        <v>0</v>
      </c>
      <c r="CZ186" s="121">
        <f t="shared" si="1956"/>
        <v>201.5</v>
      </c>
      <c r="DA186" s="118">
        <f t="shared" si="1957"/>
        <v>0</v>
      </c>
      <c r="DB186" s="119">
        <f t="shared" si="1958"/>
        <v>0</v>
      </c>
      <c r="DC186" s="120">
        <f t="shared" si="1959"/>
        <v>0</v>
      </c>
      <c r="DD186" s="121">
        <f t="shared" si="1960"/>
        <v>0</v>
      </c>
      <c r="DE186" s="118">
        <f>DH186</f>
        <v>0</v>
      </c>
      <c r="DF186" s="119"/>
      <c r="DG186" s="120"/>
      <c r="DH186" s="121"/>
      <c r="DI186" s="118"/>
      <c r="DJ186" s="119"/>
      <c r="DK186" s="120"/>
      <c r="DL186" s="121"/>
      <c r="DM186" s="203">
        <f t="shared" si="1961"/>
        <v>201.5</v>
      </c>
      <c r="DN186" s="119">
        <f t="shared" si="1976"/>
        <v>0</v>
      </c>
      <c r="DO186" s="120">
        <f t="shared" si="1962"/>
        <v>0</v>
      </c>
      <c r="DP186" s="121">
        <f t="shared" si="1963"/>
        <v>201.5</v>
      </c>
      <c r="DQ186" s="118">
        <f t="shared" si="1964"/>
        <v>0</v>
      </c>
      <c r="DR186" s="119">
        <f t="shared" si="1965"/>
        <v>0</v>
      </c>
      <c r="DS186" s="120">
        <f t="shared" si="1966"/>
        <v>0</v>
      </c>
      <c r="DT186" s="121">
        <f t="shared" si="1967"/>
        <v>0</v>
      </c>
      <c r="DU186" s="118">
        <f>DX186</f>
        <v>0</v>
      </c>
      <c r="DV186" s="119"/>
      <c r="DW186" s="120"/>
      <c r="DX186" s="121"/>
      <c r="DY186" s="118"/>
      <c r="DZ186" s="119"/>
      <c r="EA186" s="120"/>
      <c r="EB186" s="121"/>
      <c r="EC186" s="203">
        <f t="shared" si="1968"/>
        <v>201.5</v>
      </c>
      <c r="ED186" s="119">
        <f t="shared" si="1977"/>
        <v>0</v>
      </c>
      <c r="EE186" s="120">
        <f t="shared" si="1969"/>
        <v>0</v>
      </c>
      <c r="EF186" s="121">
        <f t="shared" si="1970"/>
        <v>201.5</v>
      </c>
      <c r="EG186" s="118">
        <f t="shared" si="1971"/>
        <v>0</v>
      </c>
      <c r="EH186" s="119">
        <f t="shared" si="1972"/>
        <v>0</v>
      </c>
      <c r="EI186" s="120">
        <f t="shared" si="1973"/>
        <v>0</v>
      </c>
      <c r="EJ186" s="121">
        <f t="shared" si="1974"/>
        <v>0</v>
      </c>
      <c r="EK186" s="189">
        <f t="shared" si="1402"/>
        <v>115.02699999999999</v>
      </c>
      <c r="EL186" s="189">
        <f t="shared" si="1403"/>
        <v>115.02699999999999</v>
      </c>
      <c r="EM186" s="118">
        <f>SUM(EN186,EP186)</f>
        <v>316.52699999999999</v>
      </c>
      <c r="EN186" s="119"/>
      <c r="EO186" s="120"/>
      <c r="EP186" s="121">
        <v>316.52699999999999</v>
      </c>
      <c r="EQ186" s="118"/>
      <c r="ER186" s="119"/>
      <c r="ES186" s="120"/>
      <c r="ET186" s="121"/>
    </row>
    <row r="187" spans="1:150" s="5" customFormat="1" ht="26" customHeight="1" thickBot="1" x14ac:dyDescent="0.35">
      <c r="A187" s="21"/>
      <c r="B187" s="135" t="s">
        <v>178</v>
      </c>
      <c r="C187" s="710"/>
      <c r="D187" s="711"/>
      <c r="E187" s="204">
        <f>E180-E186</f>
        <v>20622.52</v>
      </c>
      <c r="F187" s="205">
        <f t="shared" ref="F187:G187" si="1978">F180-F186</f>
        <v>16747.066999999999</v>
      </c>
      <c r="G187" s="206">
        <f t="shared" si="1978"/>
        <v>8743.6990000000005</v>
      </c>
      <c r="H187" s="207">
        <f>H180-H186</f>
        <v>3875.453</v>
      </c>
      <c r="I187" s="204">
        <f t="shared" ref="I187:L187" si="1979">I180-I186</f>
        <v>3413.5319999999992</v>
      </c>
      <c r="J187" s="205">
        <f t="shared" si="1979"/>
        <v>1013.3630000000001</v>
      </c>
      <c r="K187" s="206">
        <f t="shared" si="1979"/>
        <v>51.767000000000003</v>
      </c>
      <c r="L187" s="207">
        <f t="shared" si="1979"/>
        <v>2400.1689999999994</v>
      </c>
      <c r="M187" s="204">
        <f>M180-M186</f>
        <v>0.89999999999999991</v>
      </c>
      <c r="N187" s="205">
        <f t="shared" ref="N187:O187" si="1980">N180-N186</f>
        <v>3.9</v>
      </c>
      <c r="O187" s="206">
        <f t="shared" si="1980"/>
        <v>0.28399999999999997</v>
      </c>
      <c r="P187" s="207">
        <f>P180-P186</f>
        <v>-3</v>
      </c>
      <c r="Q187" s="204">
        <f t="shared" ref="Q187:T187" si="1981">Q180-Q186</f>
        <v>0</v>
      </c>
      <c r="R187" s="205">
        <f t="shared" si="1981"/>
        <v>1</v>
      </c>
      <c r="S187" s="206">
        <f t="shared" si="1981"/>
        <v>0</v>
      </c>
      <c r="T187" s="207">
        <f t="shared" si="1981"/>
        <v>-1</v>
      </c>
      <c r="U187" s="204">
        <f>U180-U186</f>
        <v>20623.420000000002</v>
      </c>
      <c r="V187" s="205">
        <f t="shared" ref="V187:W187" si="1982">V180-V186</f>
        <v>16750.967000000001</v>
      </c>
      <c r="W187" s="206">
        <f t="shared" si="1982"/>
        <v>8743.9830000000002</v>
      </c>
      <c r="X187" s="207">
        <f>X180-X186</f>
        <v>3872.453</v>
      </c>
      <c r="Y187" s="204">
        <f t="shared" ref="Y187:AB187" si="1983">Y180-Y186</f>
        <v>3413.5319999999992</v>
      </c>
      <c r="Z187" s="205">
        <f t="shared" si="1983"/>
        <v>1014.3630000000001</v>
      </c>
      <c r="AA187" s="206">
        <f t="shared" si="1983"/>
        <v>51.767000000000003</v>
      </c>
      <c r="AB187" s="207">
        <f t="shared" si="1983"/>
        <v>2399.1689999999994</v>
      </c>
      <c r="AC187" s="204">
        <f>AC180-AC186</f>
        <v>5.110000000000003</v>
      </c>
      <c r="AD187" s="205">
        <f t="shared" ref="AD187:AE187" si="1984">AD180-AD186</f>
        <v>19.560000000000002</v>
      </c>
      <c r="AE187" s="206">
        <f t="shared" si="1984"/>
        <v>-5.3550000000000004</v>
      </c>
      <c r="AF187" s="207">
        <f>AF180-AF186</f>
        <v>-14.45</v>
      </c>
      <c r="AG187" s="204">
        <f t="shared" ref="AG187:AJ187" si="1985">AG180-AG186</f>
        <v>0</v>
      </c>
      <c r="AH187" s="205">
        <f t="shared" si="1985"/>
        <v>0</v>
      </c>
      <c r="AI187" s="206">
        <f t="shared" si="1985"/>
        <v>0</v>
      </c>
      <c r="AJ187" s="207">
        <f t="shared" si="1985"/>
        <v>0</v>
      </c>
      <c r="AK187" s="204">
        <f>AK180-AK186</f>
        <v>20628.53</v>
      </c>
      <c r="AL187" s="205">
        <f t="shared" ref="AL187:AM187" si="1986">AL180-AL186</f>
        <v>16770.526999999998</v>
      </c>
      <c r="AM187" s="206">
        <f t="shared" si="1986"/>
        <v>8738.6280000000006</v>
      </c>
      <c r="AN187" s="207">
        <f>AN180-AN186</f>
        <v>3858.0029999999997</v>
      </c>
      <c r="AO187" s="204">
        <f t="shared" ref="AO187:AR187" si="1987">AO180-AO186</f>
        <v>3413.5319999999992</v>
      </c>
      <c r="AP187" s="205">
        <f t="shared" si="1987"/>
        <v>1014.3630000000001</v>
      </c>
      <c r="AQ187" s="206">
        <f t="shared" si="1987"/>
        <v>51.767000000000003</v>
      </c>
      <c r="AR187" s="207">
        <f t="shared" si="1987"/>
        <v>2399.1689999999994</v>
      </c>
      <c r="AS187" s="204">
        <f>AS180-AS186</f>
        <v>0.19200000000002504</v>
      </c>
      <c r="AT187" s="205">
        <f t="shared" ref="AT187:AU187" si="1988">AT180-AT186</f>
        <v>15.419000000000025</v>
      </c>
      <c r="AU187" s="206">
        <f t="shared" si="1988"/>
        <v>-12.563000000000004</v>
      </c>
      <c r="AV187" s="207">
        <f>AV180-AV186</f>
        <v>-15.227</v>
      </c>
      <c r="AW187" s="204">
        <f t="shared" ref="AW187:AZ187" si="1989">AW180-AW186</f>
        <v>0</v>
      </c>
      <c r="AX187" s="205">
        <f t="shared" si="1989"/>
        <v>6.41</v>
      </c>
      <c r="AY187" s="206">
        <f t="shared" si="1989"/>
        <v>0</v>
      </c>
      <c r="AZ187" s="207">
        <f t="shared" si="1989"/>
        <v>-6.41</v>
      </c>
      <c r="BA187" s="204">
        <f>BA180-BA186</f>
        <v>20628.721999999994</v>
      </c>
      <c r="BB187" s="205">
        <f t="shared" ref="BB187:BC187" si="1990">BB180-BB186</f>
        <v>16785.945999999996</v>
      </c>
      <c r="BC187" s="206">
        <f t="shared" si="1990"/>
        <v>8726.0650000000005</v>
      </c>
      <c r="BD187" s="207">
        <f>BD180-BD186</f>
        <v>3842.7759999999998</v>
      </c>
      <c r="BE187" s="204">
        <f t="shared" ref="BE187:BH187" si="1991">BE180-BE186</f>
        <v>3413.5319999999997</v>
      </c>
      <c r="BF187" s="205">
        <f t="shared" si="1991"/>
        <v>1020.7730000000001</v>
      </c>
      <c r="BG187" s="206">
        <f t="shared" si="1991"/>
        <v>51.767000000000003</v>
      </c>
      <c r="BH187" s="207">
        <f t="shared" si="1991"/>
        <v>2392.7589999999996</v>
      </c>
      <c r="BI187" s="204">
        <f>BI180-BI186</f>
        <v>70</v>
      </c>
      <c r="BJ187" s="205">
        <f t="shared" ref="BJ187:BK187" si="1992">BJ180-BJ186</f>
        <v>68.578000000000003</v>
      </c>
      <c r="BK187" s="206">
        <f t="shared" si="1992"/>
        <v>10.15</v>
      </c>
      <c r="BL187" s="207">
        <f>BL180-BL186</f>
        <v>1.4220000000000006</v>
      </c>
      <c r="BM187" s="204">
        <f t="shared" ref="BM187:BP187" si="1993">BM180-BM186</f>
        <v>30</v>
      </c>
      <c r="BN187" s="205">
        <f t="shared" si="1993"/>
        <v>40.847999999999999</v>
      </c>
      <c r="BO187" s="206">
        <f t="shared" si="1993"/>
        <v>10</v>
      </c>
      <c r="BP187" s="207">
        <f t="shared" si="1993"/>
        <v>-10.848000000000001</v>
      </c>
      <c r="BQ187" s="204">
        <f>BQ180-BQ186</f>
        <v>20698.721999999998</v>
      </c>
      <c r="BR187" s="205">
        <f t="shared" ref="BR187:BS187" si="1994">BR180-BR186</f>
        <v>16854.523999999998</v>
      </c>
      <c r="BS187" s="206">
        <f t="shared" si="1994"/>
        <v>8736.215000000002</v>
      </c>
      <c r="BT187" s="207">
        <f>BT180-BT186</f>
        <v>3844.1980000000003</v>
      </c>
      <c r="BU187" s="204">
        <f t="shared" ref="BU187:BX187" si="1995">BU180-BU186</f>
        <v>3443.5319999999997</v>
      </c>
      <c r="BV187" s="205">
        <f t="shared" si="1995"/>
        <v>1061.6210000000001</v>
      </c>
      <c r="BW187" s="206">
        <f t="shared" si="1995"/>
        <v>61.767000000000003</v>
      </c>
      <c r="BX187" s="207">
        <f t="shared" si="1995"/>
        <v>2381.9109999999996</v>
      </c>
      <c r="BY187" s="204">
        <f>BY180-BY186</f>
        <v>1.3000000000000007</v>
      </c>
      <c r="BZ187" s="205">
        <f t="shared" ref="BZ187:CA187" si="1996">BZ180-BZ186</f>
        <v>-5.3659999999999997</v>
      </c>
      <c r="CA187" s="206">
        <f t="shared" si="1996"/>
        <v>-28.278000000000002</v>
      </c>
      <c r="CB187" s="207">
        <f>CB180-CB186</f>
        <v>6.6660000000000004</v>
      </c>
      <c r="CC187" s="204">
        <f t="shared" ref="CC187:CF187" si="1997">CC180-CC186</f>
        <v>0</v>
      </c>
      <c r="CD187" s="205">
        <f t="shared" si="1997"/>
        <v>-4.6100000000000003</v>
      </c>
      <c r="CE187" s="206">
        <f t="shared" si="1997"/>
        <v>0</v>
      </c>
      <c r="CF187" s="207">
        <f t="shared" si="1997"/>
        <v>4.6100000000000003</v>
      </c>
      <c r="CG187" s="204">
        <f>CG180-CG186</f>
        <v>20700.021999999997</v>
      </c>
      <c r="CH187" s="205">
        <f t="shared" ref="CH187:CI187" si="1998">CH180-CH186</f>
        <v>16849.157999999996</v>
      </c>
      <c r="CI187" s="206">
        <f t="shared" si="1998"/>
        <v>8707.9370000000017</v>
      </c>
      <c r="CJ187" s="207">
        <f>CJ180-CJ186</f>
        <v>3850.8640000000005</v>
      </c>
      <c r="CK187" s="204">
        <f t="shared" ref="CK187:CN187" si="1999">CK180-CK186</f>
        <v>3443.5319999999992</v>
      </c>
      <c r="CL187" s="205">
        <f t="shared" si="1999"/>
        <v>1057.011</v>
      </c>
      <c r="CM187" s="206">
        <f t="shared" si="1999"/>
        <v>61.767000000000003</v>
      </c>
      <c r="CN187" s="207">
        <f t="shared" si="1999"/>
        <v>2386.5209999999993</v>
      </c>
      <c r="CO187" s="204">
        <f>CO180-CO186</f>
        <v>5.1000000000000014</v>
      </c>
      <c r="CP187" s="205">
        <f t="shared" ref="CP187:CQ187" si="2000">CP180-CP186</f>
        <v>16.027000000000001</v>
      </c>
      <c r="CQ187" s="206">
        <f t="shared" si="2000"/>
        <v>6.5760000000000014</v>
      </c>
      <c r="CR187" s="207">
        <f>CR180-CR186</f>
        <v>-10.927</v>
      </c>
      <c r="CS187" s="204">
        <f t="shared" ref="CS187:CV187" si="2001">CS180-CS186</f>
        <v>0</v>
      </c>
      <c r="CT187" s="205">
        <f t="shared" si="2001"/>
        <v>7.0940000000000003</v>
      </c>
      <c r="CU187" s="206">
        <f t="shared" si="2001"/>
        <v>1.0620000000000001</v>
      </c>
      <c r="CV187" s="207">
        <f t="shared" si="2001"/>
        <v>-7.0940000000000003</v>
      </c>
      <c r="CW187" s="204">
        <f>CW180-CW186</f>
        <v>20705.122000000003</v>
      </c>
      <c r="CX187" s="205">
        <f t="shared" ref="CX187:CY187" si="2002">CX180-CX186</f>
        <v>16865.185000000001</v>
      </c>
      <c r="CY187" s="206">
        <f t="shared" si="2002"/>
        <v>8714.5130000000008</v>
      </c>
      <c r="CZ187" s="207">
        <f>CZ180-CZ186</f>
        <v>3839.9369999999999</v>
      </c>
      <c r="DA187" s="204">
        <f t="shared" ref="DA187:DD187" si="2003">DA180-DA186</f>
        <v>3443.5319999999997</v>
      </c>
      <c r="DB187" s="205">
        <f t="shared" si="2003"/>
        <v>1064.105</v>
      </c>
      <c r="DC187" s="206">
        <f t="shared" si="2003"/>
        <v>62.829000000000001</v>
      </c>
      <c r="DD187" s="207">
        <f t="shared" si="2003"/>
        <v>2379.4269999999997</v>
      </c>
      <c r="DE187" s="204">
        <f>DE180-DE186</f>
        <v>35.72</v>
      </c>
      <c r="DF187" s="205">
        <f t="shared" ref="DF187:DG187" si="2004">DF180-DF186</f>
        <v>6.9830000000000023</v>
      </c>
      <c r="DG187" s="206">
        <f t="shared" si="2004"/>
        <v>8.0820000000000043</v>
      </c>
      <c r="DH187" s="207">
        <f>DH180-DH186</f>
        <v>28.736999999999998</v>
      </c>
      <c r="DI187" s="204">
        <f t="shared" ref="DI187:DL187" si="2005">DI180-DI186</f>
        <v>0</v>
      </c>
      <c r="DJ187" s="205">
        <f t="shared" si="2005"/>
        <v>0</v>
      </c>
      <c r="DK187" s="206">
        <f t="shared" si="2005"/>
        <v>0</v>
      </c>
      <c r="DL187" s="207">
        <f t="shared" si="2005"/>
        <v>0</v>
      </c>
      <c r="DM187" s="204">
        <f>DM180-DM186</f>
        <v>20740.841999999997</v>
      </c>
      <c r="DN187" s="205">
        <f t="shared" ref="DN187:DO187" si="2006">DN180-DN186</f>
        <v>16872.167999999998</v>
      </c>
      <c r="DO187" s="206">
        <f t="shared" si="2006"/>
        <v>8722.5950000000012</v>
      </c>
      <c r="DP187" s="207">
        <f>DP180-DP186</f>
        <v>3868.674</v>
      </c>
      <c r="DQ187" s="204">
        <f t="shared" ref="DQ187:DT187" si="2007">DQ180-DQ186</f>
        <v>3443.5319999999997</v>
      </c>
      <c r="DR187" s="205">
        <f t="shared" si="2007"/>
        <v>1064.105</v>
      </c>
      <c r="DS187" s="206">
        <f t="shared" si="2007"/>
        <v>62.829000000000001</v>
      </c>
      <c r="DT187" s="207">
        <f t="shared" si="2007"/>
        <v>2379.4269999999997</v>
      </c>
      <c r="DU187" s="204">
        <f>DU180-DU186</f>
        <v>28.849000000000004</v>
      </c>
      <c r="DV187" s="205">
        <f t="shared" ref="DV187:DW187" si="2008">DV180-DV186</f>
        <v>15.279000000000005</v>
      </c>
      <c r="DW187" s="206">
        <f t="shared" si="2008"/>
        <v>-51.775999999999996</v>
      </c>
      <c r="DX187" s="207">
        <f>DX180-DX186</f>
        <v>13.569999999999997</v>
      </c>
      <c r="DY187" s="204">
        <f t="shared" ref="DY187:EB187" si="2009">DY180-DY186</f>
        <v>0</v>
      </c>
      <c r="DZ187" s="205">
        <f t="shared" si="2009"/>
        <v>0</v>
      </c>
      <c r="EA187" s="206">
        <f t="shared" si="2009"/>
        <v>0</v>
      </c>
      <c r="EB187" s="207">
        <f t="shared" si="2009"/>
        <v>0</v>
      </c>
      <c r="EC187" s="204">
        <f>EC180-EC186</f>
        <v>20769.690999999995</v>
      </c>
      <c r="ED187" s="205">
        <f t="shared" ref="ED187:EE187" si="2010">ED180-ED186</f>
        <v>16887.446999999996</v>
      </c>
      <c r="EE187" s="206">
        <f t="shared" si="2010"/>
        <v>8670.8190000000013</v>
      </c>
      <c r="EF187" s="207">
        <f>EF180-EF186</f>
        <v>3882.2440000000001</v>
      </c>
      <c r="EG187" s="204">
        <f t="shared" ref="EG187:EJ187" si="2011">EG180-EG186</f>
        <v>3443.5319999999997</v>
      </c>
      <c r="EH187" s="205">
        <f t="shared" si="2011"/>
        <v>1064.105</v>
      </c>
      <c r="EI187" s="206">
        <f t="shared" si="2011"/>
        <v>62.829000000000001</v>
      </c>
      <c r="EJ187" s="207">
        <f t="shared" si="2011"/>
        <v>2379.4269999999997</v>
      </c>
      <c r="EK187" s="208">
        <f t="shared" si="1402"/>
        <v>2719.867000000002</v>
      </c>
      <c r="EL187" s="208">
        <f t="shared" si="1403"/>
        <v>2572.6960000000072</v>
      </c>
      <c r="EM187" s="204">
        <f t="shared" ref="EM187:ET187" si="2012">EM180-EM186</f>
        <v>23342.387000000002</v>
      </c>
      <c r="EN187" s="205">
        <f t="shared" si="2012"/>
        <v>17813.078000000001</v>
      </c>
      <c r="EO187" s="206">
        <f t="shared" si="2012"/>
        <v>9673.7180000000008</v>
      </c>
      <c r="EP187" s="207">
        <f t="shared" si="2012"/>
        <v>5529.3090000000002</v>
      </c>
      <c r="EQ187" s="204">
        <f t="shared" si="2012"/>
        <v>5339.0869999999995</v>
      </c>
      <c r="ER187" s="205">
        <f t="shared" si="2012"/>
        <v>1586.3889999999999</v>
      </c>
      <c r="ES187" s="206">
        <f t="shared" si="2012"/>
        <v>217.91499999999999</v>
      </c>
      <c r="ET187" s="207">
        <f t="shared" si="2012"/>
        <v>3752.6979999999999</v>
      </c>
    </row>
    <row r="188" spans="1:150" ht="15" customHeight="1" x14ac:dyDescent="0.25">
      <c r="A188" s="19"/>
      <c r="B188" s="16" t="s">
        <v>2</v>
      </c>
      <c r="C188" s="712"/>
      <c r="D188" s="713"/>
      <c r="E188" s="126"/>
      <c r="F188" s="127"/>
      <c r="G188" s="128"/>
      <c r="H188" s="129"/>
      <c r="I188" s="126"/>
      <c r="J188" s="127"/>
      <c r="K188" s="128"/>
      <c r="L188" s="129"/>
      <c r="M188" s="126"/>
      <c r="N188" s="127"/>
      <c r="O188" s="128"/>
      <c r="P188" s="129"/>
      <c r="Q188" s="126"/>
      <c r="R188" s="127"/>
      <c r="S188" s="128"/>
      <c r="T188" s="129"/>
      <c r="U188" s="126"/>
      <c r="V188" s="127"/>
      <c r="W188" s="128"/>
      <c r="X188" s="129"/>
      <c r="Y188" s="126"/>
      <c r="Z188" s="127"/>
      <c r="AA188" s="128"/>
      <c r="AB188" s="129"/>
      <c r="AC188" s="126"/>
      <c r="AD188" s="127"/>
      <c r="AE188" s="128"/>
      <c r="AF188" s="129"/>
      <c r="AG188" s="126"/>
      <c r="AH188" s="127"/>
      <c r="AI188" s="128"/>
      <c r="AJ188" s="129"/>
      <c r="AK188" s="126"/>
      <c r="AL188" s="127"/>
      <c r="AM188" s="128"/>
      <c r="AN188" s="129"/>
      <c r="AO188" s="126"/>
      <c r="AP188" s="127"/>
      <c r="AQ188" s="128"/>
      <c r="AR188" s="129"/>
      <c r="AS188" s="126"/>
      <c r="AT188" s="127"/>
      <c r="AU188" s="128"/>
      <c r="AV188" s="129"/>
      <c r="AW188" s="126"/>
      <c r="AX188" s="127"/>
      <c r="AY188" s="128"/>
      <c r="AZ188" s="129"/>
      <c r="BA188" s="126"/>
      <c r="BB188" s="127"/>
      <c r="BC188" s="128"/>
      <c r="BD188" s="129"/>
      <c r="BE188" s="126"/>
      <c r="BF188" s="127"/>
      <c r="BG188" s="128"/>
      <c r="BH188" s="129"/>
      <c r="BI188" s="126"/>
      <c r="BJ188" s="127"/>
      <c r="BK188" s="128"/>
      <c r="BL188" s="129"/>
      <c r="BM188" s="126"/>
      <c r="BN188" s="127"/>
      <c r="BO188" s="128"/>
      <c r="BP188" s="129"/>
      <c r="BQ188" s="126"/>
      <c r="BR188" s="127"/>
      <c r="BS188" s="128"/>
      <c r="BT188" s="129"/>
      <c r="BU188" s="126"/>
      <c r="BV188" s="127"/>
      <c r="BW188" s="128"/>
      <c r="BX188" s="129"/>
      <c r="BY188" s="126"/>
      <c r="BZ188" s="127"/>
      <c r="CA188" s="128"/>
      <c r="CB188" s="129"/>
      <c r="CC188" s="126"/>
      <c r="CD188" s="127"/>
      <c r="CE188" s="128"/>
      <c r="CF188" s="129"/>
      <c r="CG188" s="126"/>
      <c r="CH188" s="127"/>
      <c r="CI188" s="128"/>
      <c r="CJ188" s="129"/>
      <c r="CK188" s="126"/>
      <c r="CL188" s="127"/>
      <c r="CM188" s="128"/>
      <c r="CN188" s="129"/>
      <c r="CO188" s="126"/>
      <c r="CP188" s="127"/>
      <c r="CQ188" s="128"/>
      <c r="CR188" s="129"/>
      <c r="CS188" s="126"/>
      <c r="CT188" s="127"/>
      <c r="CU188" s="128"/>
      <c r="CV188" s="129"/>
      <c r="CW188" s="126"/>
      <c r="CX188" s="127"/>
      <c r="CY188" s="128"/>
      <c r="CZ188" s="129"/>
      <c r="DA188" s="126"/>
      <c r="DB188" s="127"/>
      <c r="DC188" s="128"/>
      <c r="DD188" s="129"/>
      <c r="DE188" s="126"/>
      <c r="DF188" s="127"/>
      <c r="DG188" s="128"/>
      <c r="DH188" s="129"/>
      <c r="DI188" s="126"/>
      <c r="DJ188" s="127"/>
      <c r="DK188" s="128"/>
      <c r="DL188" s="129"/>
      <c r="DM188" s="126"/>
      <c r="DN188" s="127"/>
      <c r="DO188" s="128"/>
      <c r="DP188" s="129"/>
      <c r="DQ188" s="126"/>
      <c r="DR188" s="127"/>
      <c r="DS188" s="128"/>
      <c r="DT188" s="129"/>
      <c r="DU188" s="126"/>
      <c r="DV188" s="127"/>
      <c r="DW188" s="128"/>
      <c r="DX188" s="129"/>
      <c r="DY188" s="126"/>
      <c r="DZ188" s="127"/>
      <c r="EA188" s="128"/>
      <c r="EB188" s="129"/>
      <c r="EC188" s="126"/>
      <c r="ED188" s="127"/>
      <c r="EE188" s="128"/>
      <c r="EF188" s="129"/>
      <c r="EG188" s="126"/>
      <c r="EH188" s="127"/>
      <c r="EI188" s="128"/>
      <c r="EJ188" s="129"/>
      <c r="EK188" s="209">
        <f t="shared" si="1402"/>
        <v>0</v>
      </c>
      <c r="EL188" s="209">
        <f t="shared" si="1403"/>
        <v>0</v>
      </c>
      <c r="EM188" s="126"/>
      <c r="EN188" s="127"/>
      <c r="EO188" s="128"/>
      <c r="EP188" s="129"/>
      <c r="EQ188" s="126"/>
      <c r="ER188" s="127"/>
      <c r="ES188" s="128"/>
      <c r="ET188" s="129"/>
    </row>
    <row r="189" spans="1:150" ht="26.4" customHeight="1" x14ac:dyDescent="0.25">
      <c r="A189" s="17"/>
      <c r="B189" s="20" t="s">
        <v>121</v>
      </c>
      <c r="C189" s="706" t="s">
        <v>37</v>
      </c>
      <c r="D189" s="707"/>
      <c r="E189" s="105">
        <f>SUM(H189,F189)</f>
        <v>19186.681999999997</v>
      </c>
      <c r="F189" s="106">
        <f>SUM(F161,F179,F173,F165,F158,F153,F143,F138,F134,F133,F132,F130,F128,F129,F123,F118,F112,F106,F99,F92,F86,F79,F72,F66,F60,F53,F46,F40,F31,F28,F27,F26,F25,F24,F23,F22,F21,F19,F13,F176,F175,F169,F168,F167,F160,F149,F148,F136,F135,F122,F117,F116,F108,F101,F94,F88,F81,F74,F68,F62,F55:F56,F48,F43,F42,F82,F75,F109,F102,F172,F164,F142,F95,F89,F63,F49,F115,F69,F147,F114,F146)</f>
        <v>15501.897999999997</v>
      </c>
      <c r="G189" s="107">
        <f>SUM(G161,G179,G173,G165,G158,G153,G143,G138,G134,G133,G132,G130,G128,G129,G123,G118,G112,G106,G99,G92,G86,G79,G72,G66,G60,G53,G46,G40,G31,G28,G27,G26,G25,G24,G23,G22,G21,G19,G13,G176,G175,G169,G168,G167,G160,G149,G148,G136,G135,G122,G117,G116,G108,G101,G94,G88,G81,G74,G68,G62,G55:G56,G48,G43,G42,G82,G75,G109,G102,G172,G164,G142,G95,G89,G63,G49,G115,G69,G146)</f>
        <v>8523.3189999999995</v>
      </c>
      <c r="H189" s="108">
        <f>SUM(H161,H179,H173,H165,H158,H153,H143,H138,H134,H133,H132,H130,H128,H129,H123,H118,H112,H106,H99,H92,H86,H79,H72,H66,H60,H53,H46,H40,H31,H28,H27,H26,H25,H24,H23,H22,H21,H19,H13,H176,H175,H169,H168,H167,H160,H149,H148,H136,H135,H122,H117,H116,H108,H101,H94,H88,H81,H74,H68,H62,H55:H56,H48,H43,H42,H82,H75,H109,H102,H172,H164,H142,H95,H89,H63,H49,H115,H69,H146)-H186</f>
        <v>3684.7839999999997</v>
      </c>
      <c r="I189" s="105">
        <f>SUM(L189,J189)</f>
        <v>3312.4919999999993</v>
      </c>
      <c r="J189" s="106">
        <f>SUM(J161,J179,J173,J165,J158,J153,J143,J138,J134,J133,J132,J130,J128,J129,J123,J118,J112,J106,J99,J92,J86,J79,J72,J66,J60,J53,J46,J40,J31,J28,J27,J26,J25,J24,J23,J22,J21,J19,J13,J176,J175,J169,J168,J167,J160,J149,J148,J136,J135,J122,J117,J116,J108,J101,J94,J88,J81,J74,J68,J62,J55:J56,J48,J43,J42,J82,J75,J109,J102,J172,J164,J142,J95,J89,J63,J49,J115,J69,J147,J114,J146)</f>
        <v>929.50299999999982</v>
      </c>
      <c r="K189" s="107">
        <f>SUM(K161,K179,K173,K165,K158,K153,K143,K138,K134,K133,K132,K130,K128,K129,K123,K118,K112,K106,K99,K92,K86,K79,K72,K66,K60,K53,K46,K40,K31,K28,K27,K26,K25,K24,K23,K22,K21,K19,K13,K176,K175,K169,K168,K167,K160,K149,K148,K136,K135,K122,K117,K116,K108,K101,K94,K88,K81,K74,K68,K62,K55:K56,K48,K43,K42,K82,K75,K109,K102,K172,K164,K142,K95,K89,K63,K49,K115,K69,K146)</f>
        <v>51.766999999999996</v>
      </c>
      <c r="L189" s="108">
        <f>SUM(L161,L179,L173,L165,L158,L153,L143,L138,L134,L133,L132,L130,L128,L129,L123,L118,L112,L106,L99,L92,L86,L79,L72,L66,L60,L53,L46,L40,L31,L28,L27,L26,L25,L24,L23,L22,L21,L19,L13,L176,L175,L169,L168,L167,L160,L149,L148,L136,L135,L122,L117,L116,L108,L101,L94,L88,L81,L74,L68,L62,L55:L56,L48,L43,L42,L82,L75,L109,L102,L172,L164,L142,L95,L89,L63,L49,L115,L69,L146)-L186</f>
        <v>2382.9889999999996</v>
      </c>
      <c r="M189" s="105">
        <f>SUM(P189,N189)</f>
        <v>3</v>
      </c>
      <c r="N189" s="106">
        <f>SUM(N161,N179,N173,N165,N158,N153,N143,N138,N134,N133,N132,N130,N128,N129,N123,N118,N112,N106,N99,N92,N86,N79,N72,N66,N60,N53,N46,N40,N31,N28,N27,N26,N25,N24,N23,N22,N21,N19,N13,N176,N175,N169,N168,N167,N160,N149,N148,N136,N135,N122,N117,N116,N108,N101,N94,N88,N81,N74,N68,N62,N55:N56,N48,N43,N42,N82,N75,N109,N102,N172,N164,N142,N95,N89,N63,N49,N115,N69,N147,N114,N146)</f>
        <v>3</v>
      </c>
      <c r="O189" s="107">
        <f>SUM(O161,O179,O173,O165,O158,O153,O143,O138,O134,O133,O132,O130,O128,O129,O123,O118,O112,O106,O99,O92,O86,O79,O72,O66,O60,O53,O46,O40,O31,O28,O27,O26,O25,O24,O23,O22,O21,O19,O13,O176,O175,O169,O168,O167,O160,O149,O148,O136,O135,O122,O117,O116,O108,O101,O94,O88,O81,O74,O68,O62,O55:O56,O48,O43,O42,O82,O75,O109,O102,O172,O164,O142,O95,O89,O63,O49,O115,O69,O146)</f>
        <v>0</v>
      </c>
      <c r="P189" s="108"/>
      <c r="Q189" s="105">
        <f>SUM(T189,R189)</f>
        <v>0</v>
      </c>
      <c r="R189" s="106">
        <f>SUM(R161,R179,R173,R165,R158,R153,R143,R138,R134,R133,R132,R130,R128,R129,R123,R118,R112,R106,R99,R92,R86,R79,R72,R66,R60,R53,R46,R40,R31,R28,R27,R26,R25,R24,R23,R22,R21,R19,R13,R176,R175,R169,R168,R167,R160,R149,R148,R136,R135,R122,R117,R116,R108,R101,R94,R88,R81,R74,R68,R62,R55:R56,R48,R43,R42,R82,R75,R109,R102,R172,R164,R142,R95,R89,R63,R49,R115,R69,R147,R114,R146)</f>
        <v>1</v>
      </c>
      <c r="S189" s="107">
        <f>SUM(S161,S179,S173,S165,S158,S153,S143,S138,S134,S133,S132,S130,S128,S129,S123,S118,S112,S106,S99,S92,S86,S79,S72,S66,S60,S53,S46,S40,S31,S28,S27,S26,S25,S24,S23,S22,S21,S19,S13,S176,S175,S169,S168,S167,S160,S149,S148,S136,S135,S122,S117,S116,S108,S101,S94,S88,S81,S74,S68,S62,S55:S56,S48,S43,S42,S82,S75,S109,S102,S172,S164,S142,S95,S89,S63,S49,S115,S69,S146)</f>
        <v>0</v>
      </c>
      <c r="T189" s="108">
        <f>SUM(T161,T179,T173,T165,T158,T153,T143,T138,T134,T133,T132,T130,T128,T129,T123,T118,T112,T106,T99,T92,T86,T79,T72,T66,T60,T53,T46,T40,T31,T28,T27,T26,T25,T24,T23,T22,T21,T19,T13,T176,T175,T169,T168,T167,T160,T149,T148,T136,T135,T122,T117,T116,T108,T101,T94,T88,T81,T74,T68,T62,T55:T56,T48,T43,T42,T82,T75,T109,T102,T172,T164,T142,T95,T89,T63,T49,T115,T69,T146)-T186</f>
        <v>-1</v>
      </c>
      <c r="U189" s="105">
        <f>SUM(X189,V189)</f>
        <v>19186.681999999997</v>
      </c>
      <c r="V189" s="106">
        <f>SUM(V161,V179,V173,V165,V158,V153,V143,V138,V134,V133,V132,V130,V128,V129,V123,V118,V112,V106,V99,V92,V86,V79,V72,V66,V60,V53,V46,V40,V31,V28,V27,V26,V25,V24,V23,V22,V21,V19,V13,V176,V175,V169,V168,V167,V160,V149,V148,V136,V135,V122,V117,V116,V108,V101,V94,V88,V81,V74,V68,V62,V55:V56,V48,V43,V42,V82,V75,V109,V102,V172,V164,V142,V95,V89,V63,V49,V115,V69,V147,V114,V146)</f>
        <v>15504.897999999997</v>
      </c>
      <c r="W189" s="107">
        <f>SUM(W161,W179,W173,W165,W158,W153,W143,W138,W134,W133,W132,W130,W128,W129,W123,W118,W112,W106,W99,W92,W86,W79,W72,W66,W60,W53,W46,W40,W31,W28,W27,W26,W25,W24,W23,W22,W21,W19,W13,W176,W175,W169,W168,W167,W160,W149,W148,W136,W135,W122,W117,W116,W108,W101,W94,W88,W81,W74,W68,W62,W55:W56,W48,W43,W42,W82,W75,W109,W102,W172,W164,W142,W95,W89,W63,W49,W115,W69,W146)</f>
        <v>8523.3189999999995</v>
      </c>
      <c r="X189" s="108">
        <f>SUM(X161,X179,X173,X165,X158,X153,X143,X138,X134,X133,X132,X130,X128,X129,X123,X118,X112,X106,X99,X92,X86,X79,X72,X66,X60,X53,X46,X40,X31,X28,X27,X26,X25,X24,X23,X22,X21,X19,X13,X176,X175,X169,X168,X167,X160,X149,X148,X136,X135,X122,X117,X116,X108,X101,X94,X88,X81,X74,X68,X62,X55:X56,X48,X43,X42,X82,X75,X109,X102,X172,X164,X142,X95,X89,X63,X49,X115,X69,X146)-X186</f>
        <v>3681.7839999999997</v>
      </c>
      <c r="Y189" s="105">
        <f>SUM(AB189,Z189)</f>
        <v>3312.4919999999993</v>
      </c>
      <c r="Z189" s="106">
        <f>SUM(Z161,Z179,Z173,Z165,Z158,Z153,Z143,Z138,Z134,Z133,Z132,Z130,Z128,Z129,Z123,Z118,Z112,Z106,Z99,Z92,Z86,Z79,Z72,Z66,Z60,Z53,Z46,Z40,Z31,Z28,Z27,Z26,Z25,Z24,Z23,Z22,Z21,Z19,Z13,Z176,Z175,Z169,Z168,Z167,Z160,Z149,Z148,Z136,Z135,Z122,Z117,Z116,Z108,Z101,Z94,Z88,Z81,Z74,Z68,Z62,Z55:Z56,Z48,Z43,Z42,Z82,Z75,Z109,Z102,Z172,Z164,Z142,Z95,Z89,Z63,Z49,Z115,Z69,Z147,Z114,Z146)</f>
        <v>930.50299999999982</v>
      </c>
      <c r="AA189" s="107">
        <f>SUM(AA161,AA179,AA173,AA165,AA158,AA153,AA143,AA138,AA134,AA133,AA132,AA130,AA128,AA129,AA123,AA118,AA112,AA106,AA99,AA92,AA86,AA79,AA72,AA66,AA60,AA53,AA46,AA40,AA31,AA28,AA27,AA26,AA25,AA24,AA23,AA22,AA21,AA19,AA13,AA176,AA175,AA169,AA168,AA167,AA160,AA149,AA148,AA136,AA135,AA122,AA117,AA116,AA108,AA101,AA94,AA88,AA81,AA74,AA68,AA62,AA55:AA56,AA48,AA43,AA42,AA82,AA75,AA109,AA102,AA172,AA164,AA142,AA95,AA89,AA63,AA49,AA115,AA69,AA146)</f>
        <v>51.766999999999996</v>
      </c>
      <c r="AB189" s="108">
        <f>SUM(AB161,AB179,AB173,AB165,AB158,AB153,AB143,AB138,AB134,AB133,AB132,AB130,AB128,AB129,AB123,AB118,AB112,AB106,AB99,AB92,AB86,AB79,AB72,AB66,AB60,AB53,AB46,AB40,AB31,AB28,AB27,AB26,AB25,AB24,AB23,AB22,AB21,AB19,AB13,AB176,AB175,AB169,AB168,AB167,AB160,AB149,AB148,AB136,AB135,AB122,AB117,AB116,AB108,AB101,AB94,AB88,AB81,AB74,AB68,AB62,AB55:AB56,AB48,AB43,AB42,AB82,AB75,AB109,AB102,AB172,AB164,AB142,AB95,AB89,AB63,AB49,AB115,AB69,AB146)-AB186</f>
        <v>2381.9889999999996</v>
      </c>
      <c r="AC189" s="105">
        <f>SUM(AF189,AD189)</f>
        <v>0</v>
      </c>
      <c r="AD189" s="106">
        <f>SUM(AD161,AD179,AD173,AD165,AD158,AD153,AD143,AD138,AD134,AD133,AD132,AD130,AD128,AD129,AD123,AD118,AD112,AD106,AD99,AD92,AD86,AD79,AD72,AD66,AD60,AD53,AD46,AD40,AD31,AD28,AD27,AD26,AD25,AD24,AD23,AD22,AD21,AD19,AD13,AD176,AD175,AD169,AD168,AD167,AD160,AD149,AD148,AD136,AD135,AD122,AD117,AD116,AD108,AD101,AD94,AD88,AD81,AD74,AD68,AD62,AD55:AD56,AD48,AD43,AD42,AD82,AD75,AD109,AD102,AD172,AD164,AD142,AD95,AD89,AD63,AD49,AD115,AD69,AD147,AD114,AD146)</f>
        <v>15.000000000000005</v>
      </c>
      <c r="AE189" s="107">
        <f>SUM(AE161,AE179,AE173,AE165,AE158,AE153,AE143,AE138,AE134,AE133,AE132,AE130,AE128,AE129,AE123,AE118,AE112,AE106,AE99,AE92,AE86,AE79,AE72,AE66,AE60,AE53,AE46,AE40,AE31,AE28,AE27,AE26,AE25,AE24,AE23,AE22,AE21,AE19,AE13,AE176,AE175,AE169,AE168,AE167,AE160,AE149,AE148,AE136,AE135,AE122,AE117,AE116,AE108,AE101,AE94,AE88,AE81,AE74,AE68,AE62,AE55:AE56,AE48,AE43,AE42,AE82,AE75,AE109,AE102,AE172,AE164,AE142,AE95,AE89,AE63,AE49,AE115,AE69,AE147,AE114,AE146)</f>
        <v>-5.3550000000000004</v>
      </c>
      <c r="AF189" s="108">
        <f>SUM(AF161,AF179,AF173,AF165,AF158,AF153,AF143,AF138,AF134,AF133,AF132,AF130,AF128,AF129,AF123,AF118,AF112,AF106,AF99,AF92,AF86,AF79,AF72,AF66,AF60,AF53,AF46,AF40,AF31,AF28,AF27,AF26,AF25,AF24,AF23,AF22,AF21,AF19,AF13,AF176,AF175,AF169,AF168,AF167,AF160,AF149,AF148,AF136,AF135,AF122,AF117,AF116,AF108,AF101,AF94,AF88,AF81,AF74,AF68,AF62,AF55:AF56,AF48,AF43,AF42,AF82,AF75,AF109,AF102,AF172,AF164,AF142,AF95,AF89,AF63,AF49,AF115,AF69,AF147,AF114,AF146)</f>
        <v>-15</v>
      </c>
      <c r="AG189" s="105">
        <f>SUM(AJ189,AH189)</f>
        <v>0</v>
      </c>
      <c r="AH189" s="106">
        <f>SUM(AH161,AH179,AH173,AH165,AH158,AH153,AH143,AH138,AH134,AH133,AH132,AH130,AH128,AH129,AH123,AH118,AH112,AH106,AH99,AH92,AH86,AH79,AH72,AH66,AH60,AH53,AH46,AH40,AH31,AH28,AH27,AH26,AH25,AH24,AH23,AH22,AH21,AH19,AH13,AH176,AH175,AH169,AH168,AH167,AH160,AH149,AH148,AH136,AH135,AH122,AH117,AH116,AH108,AH101,AH94,AH88,AH81,AH74,AH68,AH62,AH55:AH56,AH48,AH43,AH42,AH82,AH75,AH109,AH102,AH172,AH164,AH142,AH95,AH89,AH63,AH49,AH115,AH69,AH147,AH114,AH146)</f>
        <v>0</v>
      </c>
      <c r="AI189" s="107">
        <f>SUM(AI161,AI179,AI173,AI165,AI158,AI153,AI143,AI138,AI134,AI133,AI132,AI130,AI128,AI129,AI123,AI118,AI112,AI106,AI99,AI92,AI86,AI79,AI72,AI66,AI60,AI53,AI46,AI40,AI31,AI28,AI27,AI26,AI25,AI24,AI23,AI22,AI21,AI19,AI13,AI176,AI175,AI169,AI168,AI167,AI160,AI149,AI148,AI136,AI135,AI122,AI117,AI116,AI108,AI101,AI94,AI88,AI81,AI74,AI68,AI62,AI55:AI56,AI48,AI43,AI42,AI82,AI75,AI109,AI102,AI172,AI164,AI142,AI95,AI89,AI63,AI49,AI115,AI69,AI146)</f>
        <v>0</v>
      </c>
      <c r="AJ189" s="108">
        <f>SUM(AJ161,AJ179,AJ173,AJ165,AJ158,AJ153,AJ143,AJ138,AJ134,AJ133,AJ132,AJ130,AJ128,AJ129,AJ123,AJ118,AJ112,AJ106,AJ99,AJ92,AJ86,AJ79,AJ72,AJ66,AJ60,AJ53,AJ46,AJ40,AJ31,AJ28,AJ27,AJ26,AJ25,AJ24,AJ23,AJ22,AJ21,AJ19,AJ13,AJ176,AJ175,AJ169,AJ168,AJ167,AJ160,AJ149,AJ148,AJ136,AJ135,AJ122,AJ117,AJ116,AJ108,AJ101,AJ94,AJ88,AJ81,AJ74,AJ68,AJ62,AJ55:AJ56,AJ48,AJ43,AJ42,AJ82,AJ75,AJ109,AJ102,AJ172,AJ164,AJ142,AJ95,AJ89,AJ63,AJ49,AJ115,AJ69,AJ146)-AJ186</f>
        <v>0</v>
      </c>
      <c r="AK189" s="105">
        <f>SUM(AN189,AL189)</f>
        <v>19186.681999999997</v>
      </c>
      <c r="AL189" s="106">
        <f>SUM(AL161,AL179,AL173,AL165,AL158,AL153,AL143,AL138,AL134,AL133,AL132,AL130,AL128,AL129,AL123,AL118,AL112,AL106,AL99,AL92,AL86,AL79,AL72,AL66,AL60,AL53,AL46,AL40,AL31,AL28,AL27,AL26,AL25,AL24,AL23,AL22,AL21,AL19,AL13,AL176,AL175,AL169,AL168,AL167,AL160,AL149,AL148,AL136,AL135,AL122,AL117,AL116,AL108,AL101,AL94,AL88,AL81,AL74,AL68,AL62,AL55:AL56,AL48,AL43,AL42,AL82,AL75,AL109,AL102,AL172,AL164,AL142,AL95,AL89,AL63,AL49,AL115,AL69,AL147,AL114,AL146)</f>
        <v>15519.897999999997</v>
      </c>
      <c r="AM189" s="107">
        <f>SUM(AM161,AM179,AM173,AM165,AM158,AM153,AM143,AM138,AM134,AM133,AM132,AM130,AM128,AM129,AM123,AM118,AM112,AM106,AM99,AM92,AM86,AM79,AM72,AM66,AM60,AM53,AM46,AM40,AM31,AM28,AM27,AM26,AM25,AM24,AM23,AM22,AM21,AM19,AM13,AM176,AM175,AM169,AM168,AM167,AM160,AM149,AM148,AM136,AM135,AM122,AM117,AM116,AM108,AM101,AM94,AM88,AM81,AM74,AM68,AM62,AM55:AM56,AM48,AM43,AM42,AM82,AM75,AM109,AM102,AM172,AM164,AM142,AM95,AM89,AM63,AM49,AM115,AM69,AM146)</f>
        <v>8517.9639999999981</v>
      </c>
      <c r="AN189" s="108">
        <f>SUM(AN161,AN179,AN173,AN165,AN158,AN153,AN143,AN138,AN134,AN133,AN132,AN130,AN128,AN129,AN123,AN118,AN112,AN106,AN99,AN92,AN86,AN79,AN72,AN66,AN60,AN53,AN46,AN40,AN31,AN28,AN27,AN26,AN25,AN24,AN23,AN22,AN21,AN19,AN13,AN176,AN175,AN169,AN168,AN167,AN160,AN149,AN148,AN136,AN135,AN122,AN117,AN116,AN108,AN101,AN94,AN88,AN81,AN74,AN68,AN62,AN55:AN56,AN48,AN43,AN42,AN82,AN75,AN109,AN102,AN172,AN164,AN142,AN95,AN89,AN63,AN49,AN115,AN69,AN146)-AN186</f>
        <v>3666.7839999999997</v>
      </c>
      <c r="AO189" s="105">
        <f>SUM(AR189,AP189)</f>
        <v>3312.4919999999988</v>
      </c>
      <c r="AP189" s="106">
        <f>SUM(AP161,AP179,AP173,AP165,AP158,AP153,AP143,AP138,AP134,AP133,AP132,AP130,AP128,AP129,AP123,AP118,AP112,AP106,AP99,AP92,AP86,AP79,AP72,AP66,AP60,AP53,AP46,AP40,AP31,AP28,AP27,AP26,AP25,AP24,AP23,AP22,AP21,AP19,AP13,AP176,AP175,AP169,AP168,AP167,AP160,AP149,AP148,AP136,AP135,AP122,AP117,AP116,AP108,AP101,AP94,AP88,AP81,AP74,AP68,AP62,AP55:AP56,AP48,AP43,AP42,AP82,AP75,AP109,AP102,AP172,AP164,AP142,AP95,AP89,AP63,AP49,AP115,AP69,AP147,AP114,AP146)</f>
        <v>930.50299999999982</v>
      </c>
      <c r="AQ189" s="107">
        <f>SUM(AQ161,AQ179,AQ173,AQ165,AQ158,AQ153,AQ143,AQ138,AQ134,AQ133,AQ132,AQ130,AQ128,AQ129,AQ123,AQ118,AQ112,AQ106,AQ99,AQ92,AQ86,AQ79,AQ72,AQ66,AQ60,AQ53,AQ46,AQ40,AQ31,AQ28,AQ27,AQ26,AQ25,AQ24,AQ23,AQ22,AQ21,AQ19,AQ13,AQ176,AQ175,AQ169,AQ168,AQ167,AQ160,AQ149,AQ148,AQ136,AQ135,AQ122,AQ117,AQ116,AQ108,AQ101,AQ94,AQ88,AQ81,AQ74,AQ68,AQ62,AQ55:AQ56,AQ48,AQ43,AQ42,AQ82,AQ75,AQ109,AQ102,AQ172,AQ164,AQ142,AQ95,AQ89,AQ63,AQ49,AQ115,AQ69,AQ146)</f>
        <v>51.766999999999996</v>
      </c>
      <c r="AR189" s="108">
        <f>SUM(AR161,AR179,AR173,AR165,AR158,AR153,AR143,AR138,AR134,AR133,AR132,AR130,AR128,AR129,AR123,AR118,AR112,AR106,AR99,AR92,AR86,AR79,AR72,AR66,AR60,AR53,AR46,AR40,AR31,AR28,AR27,AR26,AR25,AR24,AR23,AR22,AR21,AR19,AR13,AR176,AR175,AR169,AR168,AR167,AR160,AR149,AR148,AR136,AR135,AR122,AR117,AR116,AR108,AR101,AR94,AR88,AR81,AR74,AR68,AR62,AR55:AR56,AR48,AR43,AR42,AR82,AR75,AR109,AR102,AR172,AR164,AR142,AR95,AR89,AR63,AR49,AR115,AR69,AR146)-AR186</f>
        <v>2381.9889999999991</v>
      </c>
      <c r="AS189" s="105">
        <f>SUM(AV189,AT189)</f>
        <v>0</v>
      </c>
      <c r="AT189" s="106">
        <f>SUM(AT161,AT179,AT173,AT165,AT158,AT153,AT143,AT138,AT134,AT133,AT132,AT130,AT128,AT129,AT123,AT118,AT112,AT106,AT99,AT92,AT86,AT79,AT72,AT66,AT60,AT53,AT46,AT40,AT31,AT28,AT27,AT26,AT25,AT24,AT23,AT22,AT21,AT19,AT13,AT176,AT175,AT169,AT168,AT167,AT160,AT149,AT148,AT136,AT135,AT122,AT117,AT116,AT108,AT101,AT94,AT88,AT81,AT74,AT68,AT62,AT55:AT56,AT48,AT43,AT42,AT82,AT75,AT109,AT102,AT172,AT164,AT142,AT95,AT89,AT63,AT49,AT115,AT69,AT147,AT114,AT146)</f>
        <v>15.227000000000011</v>
      </c>
      <c r="AU189" s="107">
        <f>SUM(AU161,AU179,AU173,AU165,AU158,AU153,AU143,AU138,AU134,AU133,AU132,AU130,AU128,AU129,AU123,AU118,AU112,AU106,AU99,AU92,AU86,AU79,AU72,AU66,AU60,AU53,AU46,AU40,AU31,AU28,AU27,AU26,AU25,AU24,AU23,AU22,AU21,AU19,AU13,AU176,AU175,AU169,AU168,AU167,AU160,AU149,AU148,AU136,AU135,AU122,AU117,AU116,AU108,AU101,AU94,AU88,AU81,AU74,AU68,AU62,AU55:AU56,AU48,AU43,AU42,AU82,AU75,AU109,AU102,AU172,AU164,AU142,AU95,AU89,AU63,AU49,AU115,AU69,AU147,AU114,AU146)</f>
        <v>-12.563000000000006</v>
      </c>
      <c r="AV189" s="108">
        <f>SUM(AV161,AV179,AV173,AV165,AV158,AV153,AV143,AV138,AV134,AV133,AV132,AV130,AV128,AV129,AV123,AV118,AV112,AV106,AV99,AV92,AV86,AV79,AV72,AV66,AV60,AV53,AV46,AV40,AV31,AV28,AV27,AV26,AV25,AV24,AV23,AV22,AV21,AV19,AV13,AV176,AV175,AV169,AV168,AV167,AV160,AV149,AV148,AV136,AV135,AV122,AV117,AV116,AV108,AV101,AV94,AV88,AV81,AV74,AV68,AV62,AV55:AV56,AV48,AV43,AV42,AV82,AV75,AV109,AV102,AV172,AV164,AV142,AV95,AV89,AV63,AV49,AV115,AV69,AV147,AV114,AV146)</f>
        <v>-15.227</v>
      </c>
      <c r="AW189" s="105">
        <f>SUM(AZ189,AX189)</f>
        <v>0</v>
      </c>
      <c r="AX189" s="106">
        <f>SUM(AX161,AX179,AX173,AX165,AX158,AX153,AX143,AX138,AX134,AX133,AX132,AX130,AX128,AX129,AX123,AX118,AX112,AX106,AX99,AX92,AX86,AX79,AX72,AX66,AX60,AX53,AX46,AX40,AX31,AX28,AX27,AX26,AX25,AX24,AX23,AX22,AX21,AX19,AX13,AX176,AX175,AX169,AX168,AX167,AX160,AX149,AX148,AX136,AX135,AX122,AX117,AX116,AX108,AX101,AX94,AX88,AX81,AX74,AX68,AX62,AX55:AX56,AX48,AX43,AX42,AX82,AX75,AX109,AX102,AX172,AX164,AX142,AX95,AX89,AX63,AX49,AX115,AX69,AX147,AX114,AX146)</f>
        <v>6.41</v>
      </c>
      <c r="AY189" s="107">
        <f>SUM(AY161,AY179,AY173,AY165,AY158,AY153,AY143,AY138,AY134,AY133,AY132,AY130,AY128,AY129,AY123,AY118,AY112,AY106,AY99,AY92,AY86,AY79,AY72,AY66,AY60,AY53,AY46,AY40,AY31,AY28,AY27,AY26,AY25,AY24,AY23,AY22,AY21,AY19,AY13,AY176,AY175,AY169,AY168,AY167,AY160,AY149,AY148,AY136,AY135,AY122,AY117,AY116,AY108,AY101,AY94,AY88,AY81,AY74,AY68,AY62,AY55:AY56,AY48,AY43,AY42,AY82,AY75,AY109,AY102,AY172,AY164,AY142,AY95,AY89,AY63,AY49,AY115,AY69,AY146)</f>
        <v>0</v>
      </c>
      <c r="AZ189" s="108">
        <f>SUM(AZ161,AZ179,AZ173,AZ165,AZ158,AZ153,AZ143,AZ138,AZ134,AZ133,AZ132,AZ130,AZ128,AZ129,AZ123,AZ118,AZ112,AZ106,AZ99,AZ92,AZ86,AZ79,AZ72,AZ66,AZ60,AZ53,AZ46,AZ40,AZ31,AZ28,AZ27,AZ26,AZ25,AZ24,AZ23,AZ22,AZ21,AZ19,AZ13,AZ176,AZ175,AZ169,AZ168,AZ167,AZ160,AZ149,AZ148,AZ136,AZ135,AZ122,AZ117,AZ116,AZ108,AZ101,AZ94,AZ88,AZ81,AZ74,AZ68,AZ62,AZ55:AZ56,AZ48,AZ43,AZ42,AZ82,AZ75,AZ109,AZ102,AZ172,AZ164,AZ142,AZ95,AZ89,AZ63,AZ49,AZ115,AZ69,AZ146)-AZ186</f>
        <v>-6.41</v>
      </c>
      <c r="BA189" s="105">
        <f>SUM(BD189,BB189)</f>
        <v>19186.681999999997</v>
      </c>
      <c r="BB189" s="106">
        <f>SUM(BB161,BB179,BB173,BB165,BB158,BB153,BB143,BB138,BB134,BB133,BB132,BB130,BB128,BB129,BB123,BB118,BB112,BB106,BB99,BB92,BB86,BB79,BB72,BB66,BB60,BB53,BB46,BB40,BB31,BB28,BB27,BB26,BB25,BB24,BB23,BB22,BB21,BB19,BB13,BB176,BB175,BB169,BB168,BB167,BB160,BB149,BB148,BB136,BB135,BB122,BB117,BB116,BB108,BB101,BB94,BB88,BB81,BB74,BB68,BB62,BB55:BB56,BB48,BB43,BB42,BB82,BB75,BB109,BB102,BB172,BB164,BB142,BB95,BB89,BB63,BB49,BB115,BB69,BB147,BB114,BB146)</f>
        <v>15535.124999999996</v>
      </c>
      <c r="BC189" s="107">
        <f>SUM(BC161,BC179,BC173,BC165,BC158,BC153,BC143,BC138,BC134,BC133,BC132,BC130,BC128,BC129,BC123,BC118,BC112,BC106,BC99,BC92,BC86,BC79,BC72,BC66,BC60,BC53,BC46,BC40,BC31,BC28,BC27,BC26,BC25,BC24,BC23,BC22,BC21,BC19,BC13,BC176,BC175,BC169,BC168,BC167,BC160,BC149,BC148,BC136,BC135,BC122,BC117,BC116,BC108,BC101,BC94,BC88,BC81,BC74,BC68,BC62,BC55:BC56,BC48,BC43,BC42,BC82,BC75,BC109,BC102,BC172,BC164,BC142,BC95,BC89,BC63,BC49,BC115,BC69,BC146)</f>
        <v>8505.4009999999998</v>
      </c>
      <c r="BD189" s="108">
        <f>SUM(BD161,BD179,BD173,BD165,BD158,BD153,BD143,BD138,BD134,BD133,BD132,BD130,BD128,BD129,BD123,BD118,BD112,BD106,BD99,BD92,BD86,BD79,BD72,BD66,BD60,BD53,BD46,BD40,BD31,BD28,BD27,BD26,BD25,BD24,BD23,BD22,BD21,BD19,BD13,BD176,BD175,BD169,BD168,BD167,BD160,BD149,BD148,BD136,BD135,BD122,BD117,BD116,BD108,BD101,BD94,BD88,BD81,BD74,BD68,BD62,BD55:BD56,BD48,BD43,BD42,BD82,BD75,BD109,BD102,BD172,BD164,BD142,BD95,BD89,BD63,BD49,BD115,BD69,BD146)-BD186</f>
        <v>3651.5569999999993</v>
      </c>
      <c r="BE189" s="105">
        <f>SUM(BH189,BF189)</f>
        <v>3312.4919999999993</v>
      </c>
      <c r="BF189" s="106">
        <f>SUM(BF161,BF179,BF173,BF165,BF158,BF153,BF143,BF138,BF134,BF133,BF132,BF130,BF128,BF129,BF123,BF118,BF112,BF106,BF99,BF92,BF86,BF79,BF72,BF66,BF60,BF53,BF46,BF40,BF31,BF28,BF27,BF26,BF25,BF24,BF23,BF22,BF21,BF19,BF13,BF176,BF175,BF169,BF168,BF167,BF160,BF149,BF148,BF136,BF135,BF122,BF117,BF116,BF108,BF101,BF94,BF88,BF81,BF74,BF68,BF62,BF55:BF56,BF48,BF43,BF42,BF82,BF75,BF109,BF102,BF172,BF164,BF142,BF95,BF89,BF63,BF49,BF115,BF69,BF147,BF114,BF146)</f>
        <v>936.91299999999978</v>
      </c>
      <c r="BG189" s="107">
        <f>SUM(BG161,BG179,BG173,BG165,BG158,BG153,BG143,BG138,BG134,BG133,BG132,BG130,BG128,BG129,BG123,BG118,BG112,BG106,BG99,BG92,BG86,BG79,BG72,BG66,BG60,BG53,BG46,BG40,BG31,BG28,BG27,BG26,BG25,BG24,BG23,BG22,BG21,BG19,BG13,BG176,BG175,BG169,BG168,BG167,BG160,BG149,BG148,BG136,BG135,BG122,BG117,BG116,BG108,BG101,BG94,BG88,BG81,BG74,BG68,BG62,BG55:BG56,BG48,BG43,BG42,BG82,BG75,BG109,BG102,BG172,BG164,BG142,BG95,BG89,BG63,BG49,BG115,BG69,BG146)</f>
        <v>51.766999999999996</v>
      </c>
      <c r="BH189" s="108">
        <f>SUM(BH161,BH179,BH173,BH165,BH158,BH153,BH143,BH138,BH134,BH133,BH132,BH130,BH128,BH129,BH123,BH118,BH112,BH106,BH99,BH92,BH86,BH79,BH72,BH66,BH60,BH53,BH46,BH40,BH31,BH28,BH27,BH26,BH25,BH24,BH23,BH22,BH21,BH19,BH13,BH176,BH175,BH169,BH168,BH167,BH160,BH149,BH148,BH136,BH135,BH122,BH117,BH116,BH108,BH101,BH94,BH88,BH81,BH74,BH68,BH62,BH55:BH56,BH48,BH43,BH42,BH82,BH75,BH109,BH102,BH172,BH164,BH142,BH95,BH89,BH63,BH49,BH115,BH69,BH146)-BH186</f>
        <v>2375.5789999999993</v>
      </c>
      <c r="BI189" s="105">
        <f>SUM(BL189,BJ189)</f>
        <v>70</v>
      </c>
      <c r="BJ189" s="106">
        <f>SUM(BJ161,BJ179,BJ173,BJ165,BJ158,BJ153,BJ143,BJ138,BJ134,BJ133,BJ132,BJ130,BJ128,BJ129,BJ123,BJ118,BJ112,BJ106,BJ99,BJ92,BJ86,BJ79,BJ72,BJ66,BJ60,BJ53,BJ46,BJ40,BJ31,BJ28,BJ27,BJ26,BJ25,BJ24,BJ23,BJ22,BJ21,BJ19,BJ13,BJ176,BJ175,BJ169,BJ168,BJ167,BJ160,BJ149,BJ148,BJ136,BJ135,BJ122,BJ117,BJ116,BJ108,BJ101,BJ94,BJ88,BJ81,BJ74,BJ68,BJ62,BJ55:BJ56,BJ48,BJ43,BJ42,BJ82,BJ75,BJ109,BJ102,BJ172,BJ164,BJ142,BJ95,BJ89,BJ63,BJ49,BJ115,BJ69,BJ147,BJ114,BJ146,BJ145)</f>
        <v>68.578000000000003</v>
      </c>
      <c r="BK189" s="107">
        <f>SUM(BK161,BK179,BK173,BK165,BK158,BK153,BK143,BK138,BK134,BK133,BK132,BK130,BK128,BK129,BK123,BK118,BK112,BK106,BK99,BK92,BK86,BK79,BK72,BK66,BK60,BK53,BK46,BK40,BK31,BK28,BK27,BK26,BK25,BK24,BK23,BK22,BK21,BK19,BK13,BK176,BK175,BK169,BK168,BK167,BK160,BK149,BK148,BK136,BK135,BK122,BK117,BK116,BK108,BK101,BK94,BK88,BK81,BK74,BK68,BK62,BK55:BK56,BK48,BK43,BK42,BK82,BK75,BK109,BK102,BK172,BK164,BK142,BK95,BK89,BK63,BK49,BK115,BK69,BK147,BK114,BK146)</f>
        <v>10.15</v>
      </c>
      <c r="BL189" s="108">
        <f>SUM(BL161,BL179,BL173,BL165,BL158,BL153,BL143,BL138,BL134,BL133,BL132,BL130,BL128,BL129,BL123,BL118,BL112,BL106,BL99,BL92,BL86,BL79,BL72,BL66,BL60,BL53,BL46,BL40,BL31,BL28,BL27,BL26,BL25,BL24,BL23,BL22,BL21,BL19,BL13,BL176,BL175,BL169,BL168,BL167,BL160,BL149,BL148,BL136,BL135,BL122,BL117,BL116,BL108,BL101,BL94,BL88,BL81,BL74,BL68,BL62,BL55:BL56,BL48,BL43,BL42,BL82,BL75,BL109,BL102,BL172,BL164,BL142,BL95,BL89,BL63,BL49,BL115,BL69,BL147,BL114,BL146)</f>
        <v>1.4219999999999995</v>
      </c>
      <c r="BM189" s="105">
        <f>SUM(BP189,BN189)</f>
        <v>30</v>
      </c>
      <c r="BN189" s="106">
        <f>SUM(BN161,BN179,BN173,BN165,BN158,BN153,BN143,BN138,BN134,BN133,BN132,BN130,BN128,BN129,BN123,BN118,BN112,BN106,BN99,BN92,BN86,BN79,BN72,BN66,BN60,BN53,BN46,BN40,BN31,BN28,BN27,BN26,BN25,BN24,BN23,BN22,BN21,BN19,BN13,BN176,BN175,BN169,BN168,BN167,BN160,BN149,BN148,BN136,BN135,BN122,BN117,BN116,BN108,BN101,BN94,BN88,BN81,BN74,BN68,BN62,BN55:BN56,BN48,BN43,BN42,BN82,BN75,BN109,BN102,BN172,BN164,BN142,BN95,BN89,BN63,BN49,BN115,BN69,BN147,BN114,BN146)</f>
        <v>40.847999999999999</v>
      </c>
      <c r="BO189" s="107">
        <f>SUM(BO161,BO179,BO173,BO165,BO158,BO153,BO143,BO138,BO134,BO133,BO132,BO130,BO128,BO129,BO123,BO118,BO112,BO106,BO99,BO92,BO86,BO79,BO72,BO66,BO60,BO53,BO46,BO40,BO31,BO28,BO27,BO26,BO25,BO24,BO23,BO22,BO21,BO19,BO13,BO176,BO175,BO169,BO168,BO167,BO160,BO149,BO148,BO136,BO135,BO122,BO117,BO116,BO108,BO101,BO94,BO88,BO81,BO74,BO68,BO62,BO55:BO56,BO48,BO43,BO42,BO82,BO75,BO109,BO102,BO172,BO164,BO142,BO95,BO89,BO63,BO49,BO115,BO69,BO146)</f>
        <v>10</v>
      </c>
      <c r="BP189" s="108">
        <f>SUM(BP161,BP179,BP173,BP165,BP158,BP153,BP143,BP138,BP134,BP133,BP132,BP130,BP128,BP129,BP123,BP118,BP112,BP106,BP99,BP92,BP86,BP79,BP72,BP66,BP60,BP53,BP46,BP40,BP31,BP28,BP27,BP26,BP25,BP24,BP23,BP22,BP21,BP19,BP13,BP176,BP175,BP169,BP168,BP167,BP160,BP149,BP148,BP136,BP135,BP122,BP117,BP116,BP108,BP101,BP94,BP88,BP81,BP74,BP68,BP62,BP55:BP56,BP48,BP43,BP42,BP82,BP75,BP109,BP102,BP172,BP164,BP142,BP95,BP89,BP63,BP49,BP115,BP69,BP146)-BP186</f>
        <v>-10.848000000000001</v>
      </c>
      <c r="BQ189" s="105">
        <f>SUM(BT189,BR189)</f>
        <v>19256.681999999997</v>
      </c>
      <c r="BR189" s="106">
        <f>SUM(BR161,BR179,BR173,BR165,BR158,BR153,BR143,BR138,BR134,BR133,BR132,BR130,BR128,BR129,BR123,BR118,BR112,BR106,BR99,BR92,BR86,BR79,BR72,BR66,BR60,BR53,BR46,BR40,BR31,BR28,BR27,BR26,BR25,BR24,BR23,BR22,BR21,BR19,BR13,BR176,BR175,BR169,BR168,BR167,BR160,BR149,BR148,BR136,BR135,BR122,BR117,BR116,BR108,BR101,BR94,BR88,BR81,BR74,BR68,BR62,BR55:BR56,BR48,BR43,BR42,BR82,BR75,BR109,BR102,BR172,BR164,BR142,BR95,BR89,BR63,BR49,BR115,BR69,BR147,BR114,BR146,BR145)</f>
        <v>15603.702999999998</v>
      </c>
      <c r="BS189" s="107">
        <f>SUM(BS161,BS179,BS173,BS165,BS158,BS153,BS143,BS138,BS134,BS133,BS132,BS130,BS128,BS129,BS123,BS118,BS112,BS106,BS99,BS92,BS86,BS79,BS72,BS66,BS60,BS53,BS46,BS40,BS31,BS28,BS27,BS26,BS25,BS24,BS23,BS22,BS21,BS19,BS13,BS176,BS175,BS169,BS168,BS167,BS160,BS149,BS148,BS136,BS135,BS122,BS117,BS116,BS108,BS101,BS94,BS88,BS81,BS74,BS68,BS62,BS55:BS56,BS48,BS43,BS42,BS82,BS75,BS109,BS102,BS172,BS164,BS142,BS95,BS89,BS63,BS49,BS115,BS69,BS146)</f>
        <v>8515.5510000000013</v>
      </c>
      <c r="BT189" s="108">
        <f>SUM(BT161,BT179,BT173,BT165,BT158,BT153,BT143,BT138,BT134,BT133,BT132,BT130,BT128,BT129,BT123,BT118,BT112,BT106,BT99,BT92,BT86,BT79,BT72,BT66,BT60,BT53,BT46,BT40,BT31,BT28,BT27,BT26,BT25,BT24,BT23,BT22,BT21,BT19,BT13,BT176,BT175,BT169,BT168,BT167,BT160,BT149,BT148,BT136,BT135,BT122,BT117,BT116,BT108,BT101,BT94,BT88,BT81,BT74,BT68,BT62,BT55:BT56,BT48,BT43,BT42,BT82,BT75,BT109,BT102,BT172,BT164,BT142,BT95,BT89,BT63,BT49,BT115,BT69,BT146)-BT186</f>
        <v>3652.9789999999998</v>
      </c>
      <c r="BU189" s="105">
        <f>SUM(BX189,BV189)</f>
        <v>3342.4919999999997</v>
      </c>
      <c r="BV189" s="106">
        <f>SUM(BV161,BV179,BV173,BV165,BV158,BV153,BV143,BV138,BV134,BV133,BV132,BV130,BV128,BV129,BV123,BV118,BV112,BV106,BV99,BV92,BV86,BV79,BV72,BV66,BV60,BV53,BV46,BV40,BV31,BV28,BV27,BV26,BV25,BV24,BV23,BV22,BV21,BV19,BV13,BV176,BV175,BV169,BV168,BV167,BV160,BV149,BV148,BV136,BV135,BV122,BV117,BV116,BV108,BV101,BV94,BV88,BV81,BV74,BV68,BV62,BV55:BV56,BV48,BV43,BV42,BV82,BV75,BV109,BV102,BV172,BV164,BV142,BV95,BV89,BV63,BV49,BV115,BV69,BV147,BV114,BV146)</f>
        <v>977.76099999999985</v>
      </c>
      <c r="BW189" s="107">
        <f>SUM(BW161,BW179,BW173,BW165,BW158,BW153,BW143,BW138,BW134,BW133,BW132,BW130,BW128,BW129,BW123,BW118,BW112,BW106,BW99,BW92,BW86,BW79,BW72,BW66,BW60,BW53,BW46,BW40,BW31,BW28,BW27,BW26,BW25,BW24,BW23,BW22,BW21,BW19,BW13,BW176,BW175,BW169,BW168,BW167,BW160,BW149,BW148,BW136,BW135,BW122,BW117,BW116,BW108,BW101,BW94,BW88,BW81,BW74,BW68,BW62,BW55:BW56,BW48,BW43,BW42,BW82,BW75,BW109,BW102,BW172,BW164,BW142,BW95,BW89,BW63,BW49,BW115,BW69,BW146)</f>
        <v>61.766999999999996</v>
      </c>
      <c r="BX189" s="108">
        <f>SUM(BX161,BX179,BX173,BX165,BX158,BX153,BX143,BX138,BX134,BX133,BX132,BX130,BX128,BX129,BX123,BX118,BX112,BX106,BX99,BX92,BX86,BX79,BX72,BX66,BX60,BX53,BX46,BX40,BX31,BX28,BX27,BX26,BX25,BX24,BX23,BX22,BX21,BX19,BX13,BX176,BX175,BX169,BX168,BX167,BX160,BX149,BX148,BX136,BX135,BX122,BX117,BX116,BX108,BX101,BX94,BX88,BX81,BX74,BX68,BX62,BX55:BX56,BX48,BX43,BX42,BX82,BX75,BX109,BX102,BX172,BX164,BX142,BX95,BX89,BX63,BX49,BX115,BX69,BX146)-BX186</f>
        <v>2364.7309999999998</v>
      </c>
      <c r="BY189" s="105">
        <f>SUM(CB189,BZ189)</f>
        <v>0</v>
      </c>
      <c r="BZ189" s="106">
        <f>SUM(BZ161,BZ179,BZ173,BZ165,BZ158,BZ153,BZ143,BZ138,BZ134,BZ133,BZ132,BZ130,BZ128,BZ129,BZ123,BZ118,BZ112,BZ106,BZ99,BZ92,BZ86,BZ79,BZ72,BZ66,BZ60,BZ53,BZ46,BZ40,BZ31,BZ28,BZ27,BZ26,BZ25,BZ24,BZ23,BZ22,BZ21,BZ19,BZ13,BZ176,BZ175,BZ169,BZ168,BZ167,BZ160,BZ149,BZ148,BZ136,BZ135,BZ122,BZ117,BZ116,BZ108,BZ101,BZ94,BZ88,BZ81,BZ74,BZ68,BZ62,BZ55:BZ56,BZ48,BZ43,BZ42,BZ82,BZ75,BZ109,BZ102,BZ172,BZ164,BZ142,BZ95,BZ89,BZ63,BZ49,BZ115,BZ69,BZ147,BZ114,BZ146,BZ145)</f>
        <v>-6.6660000000000013</v>
      </c>
      <c r="CA189" s="107">
        <f>SUM(CA161,CA179,CA173,CA165,CA158,CA153,CA143,CA138,CA134,CA133,CA132,CA130,CA128,CA129,CA123,CA118,CA112,CA106,CA99,CA92,CA86,CA79,CA72,CA66,CA60,CA53,CA46,CA40,CA31,CA28,CA27,CA26,CA25,CA24,CA23,CA22,CA21,CA19,CA13,CA176,CA175,CA169,CA168,CA167,CA160,CA149,CA148,CA136,CA135,CA122,CA117,CA116,CA108,CA101,CA94,CA88,CA81,CA74,CA68,CA62,CA55:CA56,CA48,CA43,CA42,CA82,CA75,CA109,CA102,CA172,CA164,CA142,CA95,CA89,CA63,CA49,CA115,CA69,CA147,CA114,CA146)</f>
        <v>-28.278000000000002</v>
      </c>
      <c r="CB189" s="108">
        <f>SUM(CB161,CB179,CB173,CB165,CB158,CB153,CB143,CB138,CB134,CB133,CB132,CB130,CB128,CB129,CB123,CB118,CB112,CB106,CB99,CB92,CB86,CB79,CB72,CB66,CB60,CB53,CB46,CB40,CB31,CB28,CB27,CB26,CB25,CB24,CB23,CB22,CB21,CB19,CB13,CB176,CB175,CB169,CB168,CB167,CB160,CB149,CB148,CB136,CB135,CB122,CB117,CB116,CB108,CB101,CB94,CB88,CB81,CB74,CB68,CB62,CB55:CB56,CB48,CB43,CB42,CB82,CB75,CB109,CB102,CB172,CB164,CB142,CB95,CB89,CB63,CB49,CB115,CB69,CB147,CB114,CB146,CB155)</f>
        <v>6.6660000000000013</v>
      </c>
      <c r="CC189" s="105">
        <f>SUM(CF189,CD189)</f>
        <v>0</v>
      </c>
      <c r="CD189" s="106">
        <f>SUM(CD161,CD179,CD173,CD165,CD158,CD153,CD143,CD138,CD134,CD133,CD132,CD130,CD128,CD129,CD123,CD118,CD112,CD106,CD99,CD92,CD86,CD79,CD72,CD66,CD60,CD53,CD46,CD40,CD31,CD28,CD27,CD26,CD25,CD24,CD23,CD22,CD21,CD19,CD13,CD176,CD175,CD169,CD168,CD167,CD160,CD149,CD148,CD136,CD135,CD122,CD117,CD116,CD108,CD101,CD94,CD88,CD81,CD74,CD68,CD62,CD55:CD56,CD48,CD43,CD42,CD82,CD75,CD109,CD102,CD172,CD164,CD142,CD95,CD89,CD63,CD49,CD115,CD69,CD147,CD114,CD146)</f>
        <v>-4.6100000000000003</v>
      </c>
      <c r="CE189" s="107">
        <f>SUM(CE161,CE179,CE173,CE165,CE158,CE153,CE143,CE138,CE134,CE133,CE132,CE130,CE128,CE129,CE123,CE118,CE112,CE106,CE99,CE92,CE86,CE79,CE72,CE66,CE60,CE53,CE46,CE40,CE31,CE28,CE27,CE26,CE25,CE24,CE23,CE22,CE21,CE19,CE13,CE176,CE175,CE169,CE168,CE167,CE160,CE149,CE148,CE136,CE135,CE122,CE117,CE116,CE108,CE101,CE94,CE88,CE81,CE74,CE68,CE62,CE55:CE56,CE48,CE43,CE42,CE82,CE75,CE109,CE102,CE172,CE164,CE142,CE95,CE89,CE63,CE49,CE115,CE69,CE146)</f>
        <v>0</v>
      </c>
      <c r="CF189" s="108">
        <f>SUM(CF161,CF179,CF173,CF165,CF158,CF153,CF143,CF138,CF134,CF133,CF132,CF130,CF128,CF129,CF123,CF118,CF112,CF106,CF99,CF92,CF86,CF79,CF72,CF66,CF60,CF53,CF46,CF40,CF31,CF28,CF27,CF26,CF25,CF24,CF23,CF22,CF21,CF19,CF13,CF176,CF175,CF169,CF168,CF167,CF160,CF149,CF148,CF136,CF135,CF122,CF117,CF116,CF108,CF101,CF94,CF88,CF81,CF74,CF68,CF62,CF55:CF56,CF48,CF43,CF42,CF82,CF75,CF109,CF102,CF172,CF164,CF142,CF95,CF89,CF63,CF49,CF115,CF69,CF146,CF155)-CF186</f>
        <v>4.6100000000000003</v>
      </c>
      <c r="CG189" s="105">
        <f>SUM(CJ189,CH189)</f>
        <v>19256.681999999997</v>
      </c>
      <c r="CH189" s="106">
        <f>SUM(CH161,CH179,CH173,CH165,CH158,CH153,CH143,CH138,CH134,CH133,CH132,CH130,CH128,CH129,CH123,CH118,CH112,CH106,CH99,CH92,CH86,CH79,CH72,CH66,CH60,CH53,CH46,CH40,CH31,CH28,CH27,CH26,CH25,CH24,CH23,CH22,CH21,CH19,CH13,CH176,CH175,CH169,CH168,CH167,CH160,CH149,CH148,CH136,CH135,CH122,CH117,CH116,CH108,CH101,CH94,CH88,CH81,CH74,CH68,CH62,CH55:CH56,CH48,CH43,CH42,CH82,CH75,CH109,CH102,CH172,CH164,CH142,CH95,CH89,CH63,CH49,CH115,CH69,CH147,CH114,CH146,CH145)</f>
        <v>15597.036999999998</v>
      </c>
      <c r="CI189" s="107">
        <f>SUM(CI161,CI179,CI173,CI165,CI158,CI153,CI143,CI138,CI134,CI133,CI132,CI130,CI128,CI129,CI123,CI118,CI112,CI106,CI99,CI92,CI86,CI79,CI72,CI66,CI60,CI53,CI46,CI40,CI31,CI28,CI27,CI26,CI25,CI24,CI23,CI22,CI21,CI19,CI13,CI176,CI175,CI169,CI168,CI167,CI160,CI149,CI148,CI136,CI135,CI122,CI117,CI116,CI108,CI101,CI94,CI88,CI81,CI74,CI68,CI62,CI55:CI56,CI48,CI43,CI42,CI82,CI75,CI109,CI102,CI172,CI164,CI142,CI95,CI89,CI63,CI49,CI115,CI69,CI146)</f>
        <v>8487.2729999999992</v>
      </c>
      <c r="CJ189" s="108">
        <f>SUM(CJ161,CJ179,CJ173,CJ165,CJ158,CJ153,CJ143,CJ138,CJ134,CJ133,CJ132,CJ130,CJ128,CJ129,CJ123,CJ118,CJ112,CJ106,CJ99,CJ92,CJ86,CJ79,CJ72,CJ66,CJ60,CJ53,CJ46,CJ40,CJ31,CJ28,CJ27,CJ26,CJ25,CJ24,CJ23,CJ22,CJ21,CJ19,CJ13,CJ176,CJ175,CJ169,CJ168,CJ167,CJ160,CJ149,CJ148,CJ136,CJ135,CJ122,CJ117,CJ116,CJ108,CJ101,CJ94,CJ88,CJ81,CJ74,CJ68,CJ62,CJ55:CJ56,CJ48,CJ43,CJ42,CJ82,CJ75,CJ109,CJ102,CJ172,CJ164,CJ142,CJ95,CJ89,CJ63,CJ49,CJ115,CJ69,CJ146,CJ155)-CJ186</f>
        <v>3659.645</v>
      </c>
      <c r="CK189" s="105">
        <f>SUM(CN189,CL189)</f>
        <v>3342.4919999999997</v>
      </c>
      <c r="CL189" s="106">
        <f>SUM(CL161,CL179,CL173,CL165,CL158,CL153,CL143,CL138,CL134,CL133,CL132,CL130,CL128,CL129,CL123,CL118,CL112,CL106,CL99,CL92,CL86,CL79,CL72,CL66,CL60,CL53,CL46,CL40,CL31,CL28,CL27,CL26,CL25,CL24,CL23,CL22,CL21,CL19,CL13,CL176,CL175,CL169,CL168,CL167,CL160,CL149,CL148,CL136,CL135,CL122,CL117,CL116,CL108,CL101,CL94,CL88,CL81,CL74,CL68,CL62,CL55:CL56,CL48,CL43,CL42,CL82,CL75,CL109,CL102,CL172,CL164,CL142,CL95,CL89,CL63,CL49,CL115,CL69,CL147,CL114,CL146)</f>
        <v>973.15099999999995</v>
      </c>
      <c r="CM189" s="107">
        <f>SUM(CM161,CM179,CM173,CM165,CM158,CM153,CM143,CM138,CM134,CM133,CM132,CM130,CM128,CM129,CM123,CM118,CM112,CM106,CM99,CM92,CM86,CM79,CM72,CM66,CM60,CM53,CM46,CM40,CM31,CM28,CM27,CM26,CM25,CM24,CM23,CM22,CM21,CM19,CM13,CM176,CM175,CM169,CM168,CM167,CM160,CM149,CM148,CM136,CM135,CM122,CM117,CM116,CM108,CM101,CM94,CM88,CM81,CM74,CM68,CM62,CM55:CM56,CM48,CM43,CM42,CM82,CM75,CM109,CM102,CM172,CM164,CM142,CM95,CM89,CM63,CM49,CM115,CM69,CM146)</f>
        <v>61.766999999999996</v>
      </c>
      <c r="CN189" s="108">
        <f>SUM(CN161,CN179,CN173,CN165,CN158,CN153,CN143,CN138,CN134,CN133,CN132,CN130,CN128,CN129,CN123,CN118,CN112,CN106,CN99,CN92,CN86,CN79,CN72,CN66,CN60,CN53,CN46,CN40,CN31,CN28,CN27,CN26,CN25,CN24,CN23,CN22,CN21,CN19,CN13,CN176,CN175,CN169,CN168,CN167,CN160,CN149,CN148,CN136,CN135,CN122,CN117,CN116,CN108,CN101,CN94,CN88,CN81,CN74,CN68,CN62,CN55:CN56,CN48,CN43,CN42,CN82,CN75,CN109,CN102,CN172,CN164,CN142,CN95,CN89,CN63,CN49,CN115,CN69,CN146,CN155)-CN186</f>
        <v>2369.3409999999999</v>
      </c>
      <c r="CO189" s="105">
        <f>SUM(CR189,CP189)</f>
        <v>0</v>
      </c>
      <c r="CP189" s="106">
        <f>SUM(CP161,CP179,CP173,CP165,CP158,CP153,CP143,CP138,CP134,CP133,CP132,CP130,CP128,CP129,CP123,CP118,CP112,CP106,CP99,CP92,CP86,CP79,CP72,CP66,CP60,CP53,CP46,CP40,CP31,CP28,CP27,CP26,CP25,CP24,CP23,CP22,CP21,CP19,CP13,CP176,CP175,CP169,CP168,CP167,CP160,CP149,CP148,CP136,CP135,CP122,CP117,CP116,CP108,CP101,CP94,CP88,CP81,CP74,CP68,CP62,CP55:CP56,CP48,CP43,CP42,CP82,CP75,CP109,CP102,CP172,CP164,CP142,CP95,CP89,CP63,CP49,CP115,CP69,CP147,CP114,CP146,CP145)</f>
        <v>11.180000000000003</v>
      </c>
      <c r="CQ189" s="107">
        <f>SUM(CQ161,CQ179,CQ173,CQ165,CQ158,CQ153,CQ143,CQ138,CQ134,CQ133,CQ132,CQ130,CQ128,CQ129,CQ123,CQ118,CQ112,CQ106,CQ99,CQ92,CQ86,CQ79,CQ72,CQ66,CQ60,CQ53,CQ46,CQ40,CQ31,CQ28,CQ27,CQ26,CQ25,CQ24,CQ23,CQ22,CQ21,CQ19,CQ13,CQ176,CQ175,CQ169,CQ168,CQ167,CQ160,CQ149,CQ148,CQ136,CQ135,CQ122,CQ117,CQ116,CQ108,CQ101,CQ94,CQ88,CQ81,CQ74,CQ68,CQ62,CQ55:CQ56,CQ48,CQ43,CQ42,CQ82,CQ75,CQ109,CQ102,CQ172,CQ164,CQ142,CQ95,CQ89,CQ63,CQ49,CQ115,CQ69,CQ147,CQ114,CQ146)</f>
        <v>1.1120000000000003</v>
      </c>
      <c r="CR189" s="108">
        <f>SUM(CR161,CR179,CR173,CR165,CR158,CR153,CR143,CR138,CR134,CR133,CR132,CR130,CR128,CR129,CR123,CR118,CR112,CR106,CR99,CR92,CR86,CR79,CR72,CR66,CR60,CR53,CR46,CR40,CR31,CR28,CR27,CR26,CR25,CR24,CR23,CR22,CR21,CR19,CR13,CR176,CR175,CR169,CR168,CR167,CR160,CR149,CR148,CR136,CR135,CR122,CR117,CR116,CR108,CR101,CR94,CR88,CR81,CR74,CR68,CR62,CR55:CR56,CR48,CR43,CR42,CR82,CR75,CR109,CR102,CR172,CR164,CR142,CR95,CR89,CR63,CR49,CR115,CR69,CR147,CR114,CR146,CR155)</f>
        <v>-11.18</v>
      </c>
      <c r="CS189" s="105">
        <f>SUM(CV189,CT189)</f>
        <v>0</v>
      </c>
      <c r="CT189" s="147">
        <f>SUM(CT161,CT179,CT173,CT165,CT158,CT153,CT143,CT138,CT134,CT133,CT132,CT130,CT128,CT129,CT123,CT118,CT112,CT106,CT99,CT92,CT86,CT79,CT72,CT66,CT60,CT53,CT46,CT40,CT31,CT28,CT27,CT26,CT25,CT24,CT23,CT22,CT21,CT19,CT13,CT176,CT175,CT169,CT168,CT167,CT160,CT149,CT148,CT136,CT135,CT122,CT117,CT116,CT108,CT101,CT94,CT88,CT81,CT74,CT68,CT62,CT55:CT56,CT48,CT43,CT42,CT82,CT75,CT109,CT102,CT172,CT164,CT142,CT95,CT89,CT63,CT49,CT115,CT69,CT147,CT114,CT146)</f>
        <v>7.0940000000000003</v>
      </c>
      <c r="CU189" s="161">
        <f>SUM(CU161,CU179,CU173,CU165,CU158,CU153,CU143,CU138,CU134,CU133,CU132,CU130,CU128,CU129,CU123,CU118,CU112,CU106,CU99,CU92,CU86,CU79,CU72,CU66,CU60,CU53,CU46,CU40,CU31,CU28,CU27,CU26,CU25,CU24,CU23,CU22,CU21,CU19,CU13,CU176,CU175,CU169,CU168,CU167,CU160,CU149,CU148,CU136,CU135,CU122,CU117,CU116,CU108,CU101,CU94,CU88,CU81,CU74,CU68,CU62,CU55:CU56,CU48,CU43,CU42,CU82,CU75,CU109,CU102,CU172,CU164,CU142,CU95,CU89,CU63,CU49,CU115,CU69,CU146)</f>
        <v>1.0620000000000001</v>
      </c>
      <c r="CV189" s="162">
        <f>SUM(CV161,CV179,CV173,CV165,CV158,CV153,CV143,CV138,CV134,CV133,CV132,CV130,CV128,CV129,CV123,CV118,CV112,CV106,CV99,CV92,CV86,CV79,CV72,CV66,CV60,CV53,CV46,CV40,CV31,CV28,CV27,CV26,CV25,CV24,CV23,CV22,CV21,CV19,CV13,CV176,CV175,CV169,CV168,CV167,CV160,CV149,CV148,CV136,CV135,CV122,CV117,CV116,CV108,CV101,CV94,CV88,CV81,CV74,CV68,CV62,CV55:CV56,CV48,CV43,CV42,CV82,CV75,CV109,CV102,CV172,CV164,CV142,CV95,CV89,CV63,CV49,CV115,CV69,CV146,CV155)-CV186</f>
        <v>-7.0939999999999994</v>
      </c>
      <c r="CW189" s="105">
        <f>SUM(CZ189,CX189)</f>
        <v>19256.682000000001</v>
      </c>
      <c r="CX189" s="106">
        <f>SUM(CX161,CX179,CX173,CX165,CX158,CX153,CX143,CX138,CX134,CX133,CX132,CX130,CX128,CX129,CX123,CX118,CX112,CX106,CX99,CX92,CX86,CX79,CX72,CX66,CX60,CX53,CX46,CX40,CX31,CX28,CX27,CX26,CX25,CX24,CX23,CX22,CX21,CX19,CX13,CX176,CX175,CX169,CX168,CX167,CX160,CX149,CX148,CX136,CX135,CX122,CX117,CX116,CX108,CX101,CX94,CX88,CX81,CX74,CX68,CX62,CX55:CX56,CX48,CX43,CX42,CX82,CX75,CX109,CX102,CX172,CX164,CX142,CX95,CX89,CX63,CX49,CX115,CX69,CX147,CX114,CX146,CX145)</f>
        <v>15608.217000000002</v>
      </c>
      <c r="CY189" s="107">
        <f>SUM(CY161,CY179,CY173,CY165,CY158,CY153,CY143,CY138,CY134,CY133,CY132,CY130,CY128,CY129,CY123,CY118,CY112,CY106,CY99,CY92,CY86,CY79,CY72,CY66,CY60,CY53,CY46,CY40,CY31,CY28,CY27,CY26,CY25,CY24,CY23,CY22,CY21,CY19,CY13,CY176,CY175,CY169,CY168,CY167,CY160,CY149,CY148,CY136,CY135,CY122,CY117,CY116,CY108,CY101,CY94,CY88,CY81,CY74,CY68,CY62,CY55:CY56,CY48,CY43,CY42,CY82,CY75,CY109,CY102,CY172,CY164,CY142,CY95,CY89,CY63,CY49,CY115,CY69,CY146)</f>
        <v>8488.3850000000002</v>
      </c>
      <c r="CZ189" s="108">
        <f>SUM(CZ161,CZ179,CZ173,CZ165,CZ158,CZ153,CZ143,CZ138,CZ134,CZ133,CZ132,CZ130,CZ128,CZ129,CZ123,CZ118,CZ112,CZ106,CZ99,CZ92,CZ86,CZ79,CZ72,CZ66,CZ60,CZ53,CZ46,CZ40,CZ31,CZ28,CZ27,CZ26,CZ25,CZ24,CZ23,CZ22,CZ21,CZ19,CZ13,CZ176,CZ175,CZ169,CZ168,CZ167,CZ160,CZ149,CZ148,CZ136,CZ135,CZ122,CZ117,CZ116,CZ108,CZ101,CZ94,CZ88,CZ81,CZ74,CZ68,CZ62,CZ55:CZ56,CZ48,CZ43,CZ42,CZ82,CZ75,CZ109,CZ102,CZ172,CZ164,CZ142,CZ95,CZ89,CZ63,CZ49,CZ115,CZ69,CZ146,CZ155)-CZ186</f>
        <v>3648.4650000000001</v>
      </c>
      <c r="DA189" s="105">
        <f>SUM(DD189,DB189)</f>
        <v>3342.4919999999997</v>
      </c>
      <c r="DB189" s="106">
        <f>SUM(DB161,DB179,DB173,DB165,DB158,DB153,DB143,DB138,DB134,DB133,DB132,DB130,DB128,DB129,DB123,DB118,DB112,DB106,DB99,DB92,DB86,DB79,DB72,DB66,DB60,DB53,DB46,DB40,DB31,DB28,DB27,DB26,DB25,DB24,DB23,DB22,DB21,DB19,DB13,DB176,DB175,DB169,DB168,DB167,DB160,DB149,DB148,DB136,DB135,DB122,DB117,DB116,DB108,DB101,DB94,DB88,DB81,DB74,DB68,DB62,DB55:DB56,DB48,DB43,DB42,DB82,DB75,DB109,DB102,DB172,DB164,DB142,DB95,DB89,DB63,DB49,DB115,DB69,DB147,DB114,DB146)</f>
        <v>980.24499999999989</v>
      </c>
      <c r="DC189" s="107">
        <f>SUM(DC161,DC179,DC173,DC165,DC158,DC153,DC143,DC138,DC134,DC133,DC132,DC130,DC128,DC129,DC123,DC118,DC112,DC106,DC99,DC92,DC86,DC79,DC72,DC66,DC60,DC53,DC46,DC40,DC31,DC28,DC27,DC26,DC25,DC24,DC23,DC22,DC21,DC19,DC13,DC176,DC175,DC169,DC168,DC167,DC160,DC149,DC148,DC136,DC135,DC122,DC117,DC116,DC108,DC101,DC94,DC88,DC81,DC74,DC68,DC62,DC55:DC56,DC48,DC43,DC42,DC82,DC75,DC109,DC102,DC172,DC164,DC142,DC95,DC89,DC63,DC49,DC115,DC69,DC146)</f>
        <v>62.828999999999994</v>
      </c>
      <c r="DD189" s="108">
        <f>SUM(DD161,DD179,DD173,DD165,DD158,DD153,DD143,DD138,DD134,DD133,DD132,DD130,DD128,DD129,DD123,DD118,DD112,DD106,DD99,DD92,DD86,DD79,DD72,DD66,DD60,DD53,DD46,DD40,DD31,DD28,DD27,DD26,DD25,DD24,DD23,DD22,DD21,DD19,DD13,DD176,DD175,DD169,DD168,DD167,DD160,DD149,DD148,DD136,DD135,DD122,DD117,DD116,DD108,DD101,DD94,DD88,DD81,DD74,DD68,DD62,DD55:DD56,DD48,DD43,DD42,DD82,DD75,DD109,DD102,DD172,DD164,DD142,DD95,DD89,DD63,DD49,DD115,DD69,DD146,DD155)-DD186</f>
        <v>2362.2469999999998</v>
      </c>
      <c r="DE189" s="105">
        <f>SUM(DH189,DF189)</f>
        <v>0</v>
      </c>
      <c r="DF189" s="106">
        <f>SUM(DF161,DF179,DF173,DF165,DF158,DF153,DF143,DF138,DF134,DF133,DF132,DF130,DF128,DF129,DF123,DF118,DF112,DF106,DF99,DF92,DF86,DF79,DF72,DF66,DF60,DF53,DF46,DF40,DF31,DF28,DF27,DF26,DF25,DF24,DF23,DF22,DF21,DF19,DF13,DF176,DF175,DF169,DF168,DF167,DF160,DF149,DF148,DF136,DF135,DF122,DF117,DF116,DF108,DF101,DF94,DF88,DF81,DF74,DF68,DF62,DF55:DF56,DF48,DF43,DF42,DF82,DF75,DF109,DF102,DF172,DF164,DF142,DF95,DF89,DF63,DF49,DF115,DF69,DF147,DF114,DF146,DF145)</f>
        <v>-10.858000000000006</v>
      </c>
      <c r="DG189" s="107">
        <f>SUM(DG161,DG179,DG173,DG165,DG158,DG153,DG143,DG138,DG134,DG133,DG132,DG130,DG128,DG129,DG123,DG118,DG112,DG106,DG99,DG92,DG86,DG79,DG72,DG66,DG60,DG53,DG46,DG40,DG31,DG28,DG27,DG26,DG25,DG24,DG23,DG22,DG21,DG19,DG13,DG176,DG175,DG169,DG168,DG167,DG160,DG149,DG148,DG136,DG135,DG122,DG117,DG116,DG108,DG101,DG94,DG88,DG81,DG74,DG68,DG62,DG55:DG56,DG48,DG43,DG42,DG82,DG75,DG109,DG102,DG172,DG164,DG142,DG95,DG89,DG63,DG49,DG115,DG69,DG147,DG114,DG146)</f>
        <v>-9.8379999999999992</v>
      </c>
      <c r="DH189" s="108">
        <f>SUM(DH161,DH179,DH173,DH165,DH158,DH153,DH143,DH138,DH134,DH133,DH132,DH130,DH128,DH129,DH123,DH118,DH112,DH106,DH99,DH92,DH86,DH79,DH72,DH66,DH60,DH53,DH46,DH40,DH31,DH28,DH27,DH26,DH25,DH24,DH23,DH22,DH21,DH19,DH13,DH176,DH175,DH169,DH168,DH167,DH160,DH149,DH148,DH136,DH135,DH122,DH117,DH116,DH108,DH101,DH94,DH88,DH81,DH74,DH68,DH62,DH55:DH56,DH48,DH43,DH42,DH82,DH75,DH109,DH102,DH172,DH164,DH142,DH95,DH89,DH63,DH49,DH115,DH69,DH147,DH114,DH146,DH155)</f>
        <v>10.858000000000001</v>
      </c>
      <c r="DI189" s="105">
        <f>SUM(DL189,DJ189)</f>
        <v>0</v>
      </c>
      <c r="DJ189" s="147">
        <f>SUM(DJ161,DJ179,DJ173,DJ165,DJ158,DJ153,DJ143,DJ138,DJ134,DJ133,DJ132,DJ130,DJ128,DJ129,DJ123,DJ118,DJ112,DJ106,DJ99,DJ92,DJ86,DJ79,DJ72,DJ66,DJ60,DJ53,DJ46,DJ40,DJ31,DJ28,DJ27,DJ26,DJ25,DJ24,DJ23,DJ22,DJ21,DJ19,DJ13,DJ176,DJ175,DJ169,DJ168,DJ167,DJ160,DJ149,DJ148,DJ136,DJ135,DJ122,DJ117,DJ116,DJ108,DJ101,DJ94,DJ88,DJ81,DJ74,DJ68,DJ62,DJ55:DJ56,DJ48,DJ43,DJ42,DJ82,DJ75,DJ109,DJ102,DJ172,DJ164,DJ142,DJ95,DJ89,DJ63,DJ49,DJ115,DJ69,DJ147,DJ114,DJ146)</f>
        <v>0</v>
      </c>
      <c r="DK189" s="161">
        <f>SUM(DK161,DK179,DK173,DK165,DK158,DK153,DK143,DK138,DK134,DK133,DK132,DK130,DK128,DK129,DK123,DK118,DK112,DK106,DK99,DK92,DK86,DK79,DK72,DK66,DK60,DK53,DK46,DK40,DK31,DK28,DK27,DK26,DK25,DK24,DK23,DK22,DK21,DK19,DK13,DK176,DK175,DK169,DK168,DK167,DK160,DK149,DK148,DK136,DK135,DK122,DK117,DK116,DK108,DK101,DK94,DK88,DK81,DK74,DK68,DK62,DK55:DK56,DK48,DK43,DK42,DK82,DK75,DK109,DK102,DK172,DK164,DK142,DK95,DK89,DK63,DK49,DK115,DK69,DK146)</f>
        <v>0</v>
      </c>
      <c r="DL189" s="162">
        <f>SUM(DL161,DL179,DL173,DL165,DL158,DL153,DL143,DL138,DL134,DL133,DL132,DL130,DL128,DL129,DL123,DL118,DL112,DL106,DL99,DL92,DL86,DL79,DL72,DL66,DL60,DL53,DL46,DL40,DL31,DL28,DL27,DL26,DL25,DL24,DL23,DL22,DL21,DL19,DL13,DL176,DL175,DL169,DL168,DL167,DL160,DL149,DL148,DL136,DL135,DL122,DL117,DL116,DL108,DL101,DL94,DL88,DL81,DL74,DL68,DL62,DL55:DL56,DL48,DL43,DL42,DL82,DL75,DL109,DL102,DL172,DL164,DL142,DL95,DL89,DL63,DL49,DL115,DL69,DL146,DL155)-DL186</f>
        <v>0</v>
      </c>
      <c r="DM189" s="105">
        <f>SUM(DP189,DN189)</f>
        <v>19256.682000000001</v>
      </c>
      <c r="DN189" s="106">
        <f>SUM(DN161,DN179,DN173,DN165,DN158,DN153,DN143,DN138,DN134,DN133,DN132,DN130,DN128,DN129,DN123,DN118,DN112,DN106,DN99,DN92,DN86,DN79,DN72,DN66,DN60,DN53,DN46,DN40,DN31,DN28,DN27,DN26,DN25,DN24,DN23,DN22,DN21,DN19,DN13,DN176,DN175,DN169,DN168,DN167,DN160,DN149,DN148,DN136,DN135,DN122,DN117,DN116,DN108,DN101,DN94,DN88,DN81,DN74,DN68,DN62,DN55:DN56,DN48,DN43,DN42,DN82,DN75,DN109,DN102,DN172,DN164,DN142,DN95,DN89,DN63,DN49,DN115,DN69,DN147,DN114,DN146,DN145)</f>
        <v>15597.359000000002</v>
      </c>
      <c r="DO189" s="107">
        <f>SUM(DO161,DO179,DO173,DO165,DO158,DO153,DO143,DO138,DO134,DO133,DO132,DO130,DO128,DO129,DO123,DO118,DO112,DO106,DO99,DO92,DO86,DO79,DO72,DO66,DO60,DO53,DO46,DO40,DO31,DO28,DO27,DO26,DO25,DO24,DO23,DO22,DO21,DO19,DO13,DO176,DO175,DO169,DO168,DO167,DO160,DO149,DO148,DO136,DO135,DO122,DO117,DO116,DO108,DO101,DO94,DO88,DO81,DO74,DO68,DO62,DO55:DO56,DO48,DO43,DO42,DO82,DO75,DO109,DO102,DO172,DO164,DO142,DO95,DO89,DO63,DO49,DO115,DO69,DO146)</f>
        <v>8478.5470000000005</v>
      </c>
      <c r="DP189" s="108">
        <f>SUM(DP161,DP179,DP173,DP165,DP158,DP153,DP143,DP138,DP134,DP133,DP132,DP130,DP128,DP129,DP123,DP118,DP112,DP106,DP99,DP92,DP86,DP79,DP72,DP66,DP60,DP53,DP46,DP40,DP31,DP28,DP27,DP26,DP25,DP24,DP23,DP22,DP21,DP19,DP13,DP176,DP175,DP169,DP168,DP167,DP160,DP149,DP148,DP136,DP135,DP122,DP117,DP116,DP108,DP101,DP94,DP88,DP81,DP74,DP68,DP62,DP55:DP56,DP48,DP43,DP42,DP82,DP75,DP109,DP102,DP172,DP164,DP142,DP95,DP89,DP63,DP49,DP115,DP69,DP146,DP155)-DP186</f>
        <v>3659.3229999999999</v>
      </c>
      <c r="DQ189" s="105">
        <f>SUM(DT189,DR189)</f>
        <v>3342.4919999999997</v>
      </c>
      <c r="DR189" s="106">
        <f>SUM(DR161,DR179,DR173,DR165,DR158,DR153,DR143,DR138,DR134,DR133,DR132,DR130,DR128,DR129,DR123,DR118,DR112,DR106,DR99,DR92,DR86,DR79,DR72,DR66,DR60,DR53,DR46,DR40,DR31,DR28,DR27,DR26,DR25,DR24,DR23,DR22,DR21,DR19,DR13,DR176,DR175,DR169,DR168,DR167,DR160,DR149,DR148,DR136,DR135,DR122,DR117,DR116,DR108,DR101,DR94,DR88,DR81,DR74,DR68,DR62,DR55:DR56,DR48,DR43,DR42,DR82,DR75,DR109,DR102,DR172,DR164,DR142,DR95,DR89,DR63,DR49,DR115,DR69,DR147,DR114,DR146)</f>
        <v>980.24499999999989</v>
      </c>
      <c r="DS189" s="107">
        <f>SUM(DS161,DS179,DS173,DS165,DS158,DS153,DS143,DS138,DS134,DS133,DS132,DS130,DS128,DS129,DS123,DS118,DS112,DS106,DS99,DS92,DS86,DS79,DS72,DS66,DS60,DS53,DS46,DS40,DS31,DS28,DS27,DS26,DS25,DS24,DS23,DS22,DS21,DS19,DS13,DS176,DS175,DS169,DS168,DS167,DS160,DS149,DS148,DS136,DS135,DS122,DS117,DS116,DS108,DS101,DS94,DS88,DS81,DS74,DS68,DS62,DS55:DS56,DS48,DS43,DS42,DS82,DS75,DS109,DS102,DS172,DS164,DS142,DS95,DS89,DS63,DS49,DS115,DS69,DS146)</f>
        <v>62.828999999999994</v>
      </c>
      <c r="DT189" s="108">
        <f>SUM(DT161,DT179,DT173,DT165,DT158,DT153,DT143,DT138,DT134,DT133,DT132,DT130,DT128,DT129,DT123,DT118,DT112,DT106,DT99,DT92,DT86,DT79,DT72,DT66,DT60,DT53,DT46,DT40,DT31,DT28,DT27,DT26,DT25,DT24,DT23,DT22,DT21,DT19,DT13,DT176,DT175,DT169,DT168,DT167,DT160,DT149,DT148,DT136,DT135,DT122,DT117,DT116,DT108,DT101,DT94,DT88,DT81,DT74,DT68,DT62,DT55:DT56,DT48,DT43,DT42,DT82,DT75,DT109,DT102,DT172,DT164,DT142,DT95,DT89,DT63,DT49,DT115,DT69,DT146,DT155)-DT186</f>
        <v>2362.2469999999998</v>
      </c>
      <c r="DU189" s="105">
        <f>SUM(DX189,DV189)</f>
        <v>0</v>
      </c>
      <c r="DV189" s="106">
        <f>SUM(DV161,DV179,DV173,DV165,DV158,DV153,DV143,DV138,DV134,DV133,DV132,DV130,DV128,DV129,DV123,DV118,DV112,DV106,DV99,DV92,DV86,DV79,DV72,DV66,DV60,DV53,DV46,DV40,DV31,DV28,DV27,DV26,DV25,DV24,DV23,DV22,DV21,DV19,DV13,DV176,DV175,DV169,DV168,DV167,DV160,DV149,DV148,DV136,DV135,DV122,DV117,DV116,DV108,DV101,DV94,DV88,DV81,DV74,DV68,DV62,DV55:DV56,DV48,DV43,DV42,DV82,DV75,DV109,DV102,DV172,DV164,DV142,DV95,DV89,DV63,DV49,DV115,DV69,DV147,DV114,DV146,DV145)</f>
        <v>-8.5699999999999985</v>
      </c>
      <c r="DW189" s="107">
        <f>SUM(DW161,DW179,DW173,DW165,DW158,DW153,DW143,DW138,DW134,DW133,DW132,DW130,DW128,DW129,DW123,DW118,DW112,DW106,DW99,DW92,DW86,DW79,DW72,DW66,DW60,DW53,DW46,DW40,DW31,DW28,DW27,DW26,DW25,DW24,DW23,DW22,DW21,DW19,DW13,DW176,DW175,DW169,DW168,DW167,DW160,DW149,DW148,DW136,DW135,DW122,DW117,DW116,DW108,DW101,DW94,DW88,DW81,DW74,DW68,DW62,DW55:DW56,DW48,DW43,DW42,DW82,DW75,DW109,DW102,DW172,DW164,DW142,DW95,DW89,DW63,DW49,DW115,DW69,DW147,DW114,DW146)</f>
        <v>-51.438999999999993</v>
      </c>
      <c r="DX189" s="108">
        <f>SUM(DX161,DX179,DX173,DX165,DX158,DX153,DX143,DX138,DX134,DX133,DX132,DX130,DX128,DX129,DX123,DX118,DX112,DX106,DX99,DX92,DX86,DX79,DX72,DX66,DX60,DX53,DX46,DX40,DX31,DX28,DX27,DX26,DX25,DX24,DX23,DX22,DX21,DX19,DX13,DX176,DX175,DX169,DX168,DX167,DX160,DX149,DX148,DX136,DX135,DX122,DX117,DX116,DX108,DX101,DX94,DX88,DX81,DX74,DX68,DX62,DX55:DX56,DX48,DX43,DX42,DX82,DX75,DX109,DX102,DX172,DX164,DX142,DX95,DX89,DX63,DX49,DX115,DX69,DX147,DX114,DX146,DX155)</f>
        <v>8.57</v>
      </c>
      <c r="DY189" s="105">
        <f>SUM(EB189,DZ189)</f>
        <v>0</v>
      </c>
      <c r="DZ189" s="147">
        <f>SUM(DZ161,DZ179,DZ173,DZ165,DZ158,DZ153,DZ143,DZ138,DZ134,DZ133,DZ132,DZ130,DZ128,DZ129,DZ123,DZ118,DZ112,DZ106,DZ99,DZ92,DZ86,DZ79,DZ72,DZ66,DZ60,DZ53,DZ46,DZ40,DZ31,DZ28,DZ27,DZ26,DZ25,DZ24,DZ23,DZ22,DZ21,DZ19,DZ13,DZ176,DZ175,DZ169,DZ168,DZ167,DZ160,DZ149,DZ148,DZ136,DZ135,DZ122,DZ117,DZ116,DZ108,DZ101,DZ94,DZ88,DZ81,DZ74,DZ68,DZ62,DZ55:DZ56,DZ48,DZ43,DZ42,DZ82,DZ75,DZ109,DZ102,DZ172,DZ164,DZ142,DZ95,DZ89,DZ63,DZ49,DZ115,DZ69,DZ147,DZ114,DZ146)</f>
        <v>0</v>
      </c>
      <c r="EA189" s="161">
        <f>SUM(EA161,EA179,EA173,EA165,EA158,EA153,EA143,EA138,EA134,EA133,EA132,EA130,EA128,EA129,EA123,EA118,EA112,EA106,EA99,EA92,EA86,EA79,EA72,EA66,EA60,EA53,EA46,EA40,EA31,EA28,EA27,EA26,EA25,EA24,EA23,EA22,EA21,EA19,EA13,EA176,EA175,EA169,EA168,EA167,EA160,EA149,EA148,EA136,EA135,EA122,EA117,EA116,EA108,EA101,EA94,EA88,EA81,EA74,EA68,EA62,EA55:EA56,EA48,EA43,EA42,EA82,EA75,EA109,EA102,EA172,EA164,EA142,EA95,EA89,EA63,EA49,EA115,EA69,EA146)</f>
        <v>0</v>
      </c>
      <c r="EB189" s="162">
        <f>SUM(EB161,EB179,EB173,EB165,EB158,EB153,EB143,EB138,EB134,EB133,EB132,EB130,EB128,EB129,EB123,EB118,EB112,EB106,EB99,EB92,EB86,EB79,EB72,EB66,EB60,EB53,EB46,EB40,EB31,EB28,EB27,EB26,EB25,EB24,EB23,EB22,EB21,EB19,EB13,EB176,EB175,EB169,EB168,EB167,EB160,EB149,EB148,EB136,EB135,EB122,EB117,EB116,EB108,EB101,EB94,EB88,EB81,EB74,EB68,EB62,EB55:EB56,EB48,EB43,EB42,EB82,EB75,EB109,EB102,EB172,EB164,EB142,EB95,EB89,EB63,EB49,EB115,EB69,EB146,EB155)-EB186</f>
        <v>0</v>
      </c>
      <c r="EC189" s="105">
        <f>SUM(EF189,ED189)</f>
        <v>19256.682000000001</v>
      </c>
      <c r="ED189" s="106">
        <f>SUM(ED161,ED179,ED173,ED165,ED158,ED153,ED143,ED138,ED134,ED133,ED132,ED130,ED128,ED129,ED123,ED118,ED112,ED106,ED99,ED92,ED86,ED79,ED72,ED66,ED60,ED53,ED46,ED40,ED31,ED28,ED27,ED26,ED25,ED24,ED23,ED22,ED21,ED19,ED13,ED176,ED175,ED169,ED168,ED167,ED160,ED149,ED148,ED136,ED135,ED122,ED117,ED116,ED108,ED101,ED94,ED88,ED81,ED74,ED68,ED62,ED55:ED56,ED48,ED43,ED42,ED82,ED75,ED109,ED102,ED172,ED164,ED142,ED95,ED89,ED63,ED49,ED115,ED69,ED147,ED114,ED146,ED145)</f>
        <v>15588.789000000001</v>
      </c>
      <c r="EE189" s="107">
        <f>SUM(EE161,EE179,EE173,EE165,EE158,EE153,EE143,EE138,EE134,EE133,EE132,EE130,EE128,EE129,EE123,EE118,EE112,EE106,EE99,EE92,EE86,EE79,EE72,EE66,EE60,EE53,EE46,EE40,EE31,EE28,EE27,EE26,EE25,EE24,EE23,EE22,EE21,EE19,EE13,EE176,EE175,EE169,EE168,EE167,EE160,EE149,EE148,EE136,EE135,EE122,EE117,EE116,EE108,EE101,EE94,EE88,EE81,EE74,EE68,EE62,EE55:EE56,EE48,EE43,EE42,EE82,EE75,EE109,EE102,EE172,EE164,EE142,EE95,EE89,EE63,EE49,EE115,EE69,EE146)</f>
        <v>8427.1079999999984</v>
      </c>
      <c r="EF189" s="108">
        <f>SUM(EF161,EF179,EF173,EF165,EF158,EF153,EF143,EF138,EF134,EF133,EF132,EF130,EF128,EF129,EF123,EF118,EF112,EF106,EF99,EF92,EF86,EF79,EF72,EF66,EF60,EF53,EF46,EF40,EF31,EF28,EF27,EF26,EF25,EF24,EF23,EF22,EF21,EF19,EF13,EF176,EF175,EF169,EF168,EF167,EF160,EF149,EF148,EF136,EF135,EF122,EF117,EF116,EF108,EF101,EF94,EF88,EF81,EF74,EF68,EF62,EF55:EF56,EF48,EF43,EF42,EF82,EF75,EF109,EF102,EF172,EF164,EF142,EF95,EF89,EF63,EF49,EF115,EF69,EF146,EF155)-EF186</f>
        <v>3667.8930000000005</v>
      </c>
      <c r="EG189" s="105">
        <f>SUM(EJ189,EH189)</f>
        <v>3342.4919999999997</v>
      </c>
      <c r="EH189" s="106">
        <f>SUM(EH161,EH179,EH173,EH165,EH158,EH153,EH143,EH138,EH134,EH133,EH132,EH130,EH128,EH129,EH123,EH118,EH112,EH106,EH99,EH92,EH86,EH79,EH72,EH66,EH60,EH53,EH46,EH40,EH31,EH28,EH27,EH26,EH25,EH24,EH23,EH22,EH21,EH19,EH13,EH176,EH175,EH169,EH168,EH167,EH160,EH149,EH148,EH136,EH135,EH122,EH117,EH116,EH108,EH101,EH94,EH88,EH81,EH74,EH68,EH62,EH55:EH56,EH48,EH43,EH42,EH82,EH75,EH109,EH102,EH172,EH164,EH142,EH95,EH89,EH63,EH49,EH115,EH69,EH147,EH114,EH146)</f>
        <v>980.24499999999989</v>
      </c>
      <c r="EI189" s="107">
        <f>SUM(EI161,EI179,EI173,EI165,EI158,EI153,EI143,EI138,EI134,EI133,EI132,EI130,EI128,EI129,EI123,EI118,EI112,EI106,EI99,EI92,EI86,EI79,EI72,EI66,EI60,EI53,EI46,EI40,EI31,EI28,EI27,EI26,EI25,EI24,EI23,EI22,EI21,EI19,EI13,EI176,EI175,EI169,EI168,EI167,EI160,EI149,EI148,EI136,EI135,EI122,EI117,EI116,EI108,EI101,EI94,EI88,EI81,EI74,EI68,EI62,EI55:EI56,EI48,EI43,EI42,EI82,EI75,EI109,EI102,EI172,EI164,EI142,EI95,EI89,EI63,EI49,EI115,EI69,EI146)</f>
        <v>62.828999999999994</v>
      </c>
      <c r="EJ189" s="108">
        <f>SUM(EJ161,EJ179,EJ173,EJ165,EJ158,EJ153,EJ143,EJ138,EJ134,EJ133,EJ132,EJ130,EJ128,EJ129,EJ123,EJ118,EJ112,EJ106,EJ99,EJ92,EJ86,EJ79,EJ72,EJ66,EJ60,EJ53,EJ46,EJ40,EJ31,EJ28,EJ27,EJ26,EJ25,EJ24,EJ23,EJ22,EJ21,EJ19,EJ13,EJ176,EJ175,EJ169,EJ168,EJ167,EJ160,EJ149,EJ148,EJ136,EJ135,EJ122,EJ117,EJ116,EJ108,EJ101,EJ94,EJ88,EJ81,EJ74,EJ68,EJ62,EJ55:EJ56,EJ48,EJ43,EJ42,EJ82,EJ75,EJ109,EJ102,EJ172,EJ164,EJ142,EJ95,EJ89,EJ63,EJ49,EJ115,EJ69,EJ146,EJ155)-EJ186</f>
        <v>2362.2469999999998</v>
      </c>
      <c r="EK189" s="163">
        <f t="shared" si="1402"/>
        <v>2469.7910000000011</v>
      </c>
      <c r="EL189" s="163">
        <f t="shared" si="1403"/>
        <v>2399.7909999999974</v>
      </c>
      <c r="EM189" s="105">
        <f>SUM(EP189,EN189)</f>
        <v>21656.472999999998</v>
      </c>
      <c r="EN189" s="106">
        <f>SUM(EN161,EN179,EN173,EN165,EN158,EN153,EN143,EN138,EN134,EN133,EN132,EN130,EN128,EN129,EN123,EN118,EN112,EN106,EN99,EN92,EN86,EN79,EN72,EN66,EN60,EN53,EN46,EN40,EN31,EN28,EN27,EN26,EN25,EN24,EN23,EN22,EN21,EN19,EN13,EN176,EN175,EN169,EN168,EN167,EN160,EN149,EN148,EN136,EN135,EN122,EN117,EN116,EN108,EN101,EN94,EN88,EN81,EN74,EN68,EN62,EN55:EN56,EN48,EN43,EN42,EN82,EN75,EN109,EN102,EN172,EN164,EN142,EN95,EN89,EN63,EN49,EN115,EN69,EN147,EN114,EN146,EN145)</f>
        <v>16476.315999999995</v>
      </c>
      <c r="EO189" s="107">
        <f t="shared" ref="EO189" si="2013">SUM(EO161,EO179,EO173,EO165,EO158,EO153,EO143,EO138,EO134,EO133,EO132,EO130,EO128,EO129,EO123,EO118,EO112,EO106,EO99,EO92,EO86,EO79,EO72,EO66,EO60,EO53,EO46,EO40,EO31,EO28,EO27,EO26,EO25,EO24,EO23,EO22,EO21,EO19,EO13,EO176,EO175,EO169,EO168,EO167,EO160,EO149,EO148,EO136,EO135,EO122,EO117,EO116,EO108,EO101,EO94,EO88,EO81,EO74,EO68,EO62,EO55:EO56,EO48,EO43,EO42,EO82,EO75,EO109,EO102,EO172,EO164,EO142,EO95,EO89,EO63,EO49,EO115,EO69,EO146)</f>
        <v>9381.9240000000027</v>
      </c>
      <c r="EP189" s="108">
        <f>SUM(EP161,EP179,EP173,EP165,EP158,EP153,EP143,EP138,EP134,EP133,EP132,EP130,EP128,EP129,EP123,EP118,EP112,EP106,EP99,EP92,EP86,EP79,EP72,EP66,EP60,EP53,EP46,EP40,EP31,EP28,EP27,EP26,EP25,EP24,EP23,EP22,EP21,EP19,EP13,EP176,EP175,EP169,EP168,EP167,EP160,EP149,EP148,EP136,EP135,EP122,EP117,EP116,EP108,EP101,EP94,EP88,EP81,EP74,EP68,EP62,EP55:EP56,EP48,EP43,EP42,EP82,EP75,EP109,EP102,EP172,EP164,EP142,EP95,EP89,EP63,EP49,EP115,EP69,EP146,EP155)-EP186</f>
        <v>5180.1570000000011</v>
      </c>
      <c r="EQ189" s="105">
        <f>SUM(ET189,ER189)</f>
        <v>5210.3</v>
      </c>
      <c r="ER189" s="106">
        <f>SUM(ER161,ER179,ER173,ER165,ER158,ER153,ER143,ER138,ER134,ER133,ER132,ER130,ER128,ER129,ER123,ER118,ER112,ER106,ER99,ER92,ER86,ER79,ER72,ER66,ER60,ER53,ER46,ER40,ER31,ER28,ER27,ER26,ER25,ER24,ER23,ER22,ER21,ER19,ER13,ER176,ER175,ER169,ER168,ER167,ER160,ER149,ER148,ER136,ER135,ER122,ER117,ER116,ER108,ER101,ER94,ER88,ER81,ER74,ER68,ER62,ER55:ER56,ER48,ER43,ER42,ER82,ER75,ER109,ER102,ER172,ER164,ER142,ER95,ER89,ER63,ER49,ER115,ER69,ER147,ER114,ER146)</f>
        <v>1463.5819999999997</v>
      </c>
      <c r="ES189" s="107">
        <f t="shared" ref="ES189" si="2014">SUM(ES161,ES179,ES173,ES165,ES158,ES153,ES143,ES138,ES134,ES133,ES132,ES130,ES128,ES129,ES123,ES118,ES112,ES106,ES99,ES92,ES86,ES79,ES72,ES66,ES60,ES53,ES46,ES40,ES31,ES28,ES27,ES26,ES25,ES24,ES23,ES22,ES21,ES19,ES13,ES176,ES175,ES169,ES168,ES167,ES160,ES149,ES148,ES136,ES135,ES122,ES117,ES116,ES108,ES101,ES94,ES88,ES81,ES74,ES68,ES62,ES55:ES56,ES48,ES43,ES42,ES82,ES75,ES109,ES102,ES172,ES164,ES142,ES95,ES89,ES63,ES49,ES115,ES69,ES146)</f>
        <v>200.00800000000001</v>
      </c>
      <c r="ET189" s="108">
        <f>SUM(ET161,ET179,ET173,ET165,ET158,ET153,ET143,ET138,ET134,ET133,ET132,ET130,ET128,ET129,ET123,ET118,ET112,ET106,ET99,ET92,ET86,ET79,ET72,ET66,ET60,ET53,ET46,ET40,ET31,ET28,ET27,ET26,ET25,ET24,ET23,ET22,ET21,ET19,ET13,ET176,ET175,ET169,ET168,ET167,ET160,ET149,ET148,ET136,ET135,ET122,ET117,ET116,ET108,ET101,ET94,ET88,ET81,ET74,ET68,ET62,ET55:ET56,ET48,ET43,ET42,ET82,ET75,ET109,ET102,ET172,ET164,ET142,ET95,ET89,ET63,ET49,ET115,ET69,ET146,ET155)-ET186</f>
        <v>3746.7180000000003</v>
      </c>
    </row>
    <row r="190" spans="1:150" ht="20.25" customHeight="1" x14ac:dyDescent="0.25">
      <c r="A190" s="18"/>
      <c r="B190" s="20" t="s">
        <v>122</v>
      </c>
      <c r="C190" s="706" t="s">
        <v>52</v>
      </c>
      <c r="D190" s="707"/>
      <c r="E190" s="105">
        <f>SUM(H190,F190)</f>
        <v>1269.7000000000003</v>
      </c>
      <c r="F190" s="106">
        <f>SUM(F174,F166,F159,F154,F144,F131,F124,F113,F107,F100,F93,F87,F80,F73,F67,F61,F59,F54,F47,F41,F20,F137,F76)</f>
        <v>1227.9400000000003</v>
      </c>
      <c r="G190" s="107">
        <f>SUM(G174,G166,G159,G154,G144,G131,G124,G113,G107,G100,G93,G87,G80,G73,G67,G61,G59,G54,G47,G41,G20,G137)</f>
        <v>220.37999999999997</v>
      </c>
      <c r="H190" s="108">
        <f>SUM(H174,H166,H159,H154,H144,H131,H124,H113,H107,H100,H93,H87,H80,H73,H67,H61,H59,H54,H47,H41,H20,H137,H76,H96)</f>
        <v>41.760000000000005</v>
      </c>
      <c r="I190" s="105">
        <f>SUM(L190,J190)</f>
        <v>101.04000000000002</v>
      </c>
      <c r="J190" s="106">
        <f>SUM(J174,J166,J159,J154,J144,J131,J124,J113,J107,J100,J93,J87,J80,J73,J67,J61,J59,J54,J47,J41,J20,J137,J76)</f>
        <v>83.860000000000014</v>
      </c>
      <c r="K190" s="107">
        <f>SUM(K174,K166,K159,K154,K144,K131,K124,K113,K107,K100,K93,K87,K80,K73,K67,K61,K59,K54,K47,K41,K20,K137)</f>
        <v>0</v>
      </c>
      <c r="L190" s="108">
        <f>SUM(L174,L166,L159,L154,L144,L131,L124,L113,L107,L100,L93,L87,L80,L73,L67,L61,L59,L54,L47,L41,L20,L137,L76,L96)</f>
        <v>17.18</v>
      </c>
      <c r="M190" s="105">
        <f>SUM(P190,N190)</f>
        <v>0.9</v>
      </c>
      <c r="N190" s="106">
        <f>SUM(N174,N166,N159,N154,N144,N131,N124,N113,N107,N100,N93,N87,N80,N73,N67,N61,N59,N54,N47,N41,N20,N137,N76)</f>
        <v>0.9</v>
      </c>
      <c r="O190" s="107">
        <f>SUM(O174,O166,O159,O154,O144,O131,O124,O113,O107,O100,O93,O87,O80,O73,O67,O61,O59,O54,O47,O41,O20,O137)</f>
        <v>0.28399999999999997</v>
      </c>
      <c r="P190" s="108">
        <f>SUM(P174,P166,P159,P154,P144,P131,P124,P113,P107,P100,P93,P87,P80,P73,P67,P61,P59,P54,P47,P41,P20,P137,P76,P96)</f>
        <v>0</v>
      </c>
      <c r="Q190" s="105">
        <f>SUM(T190,R190)</f>
        <v>0</v>
      </c>
      <c r="R190" s="106">
        <f>SUM(R174,R166,R159,R154,R144,R131,R124,R113,R107,R100,R93,R87,R80,R73,R67,R61,R59,R54,R47,R41,R20,R137,R76)</f>
        <v>0</v>
      </c>
      <c r="S190" s="107">
        <f>SUM(S174,S166,S159,S154,S144,S131,S124,S113,S107,S100,S93,S87,S80,S73,S67,S61,S59,S54,S47,S41,S20,S137)</f>
        <v>0</v>
      </c>
      <c r="T190" s="108">
        <f>SUM(T174,T166,T159,T154,T144,T131,T124,T113,T107,T100,T93,T87,T80,T73,T67,T61,T59,T54,T47,T41,T20,T137,T76,T96)</f>
        <v>0</v>
      </c>
      <c r="U190" s="105">
        <f>SUM(X190,V190)</f>
        <v>1270.6000000000001</v>
      </c>
      <c r="V190" s="106">
        <f>SUM(V174,V166,V159,V154,V144,V131,V124,V113,V107,V100,V93,V87,V80,V73,V67,V61,V59,V54,V47,V41,V20,V137,V76)</f>
        <v>1228.8400000000001</v>
      </c>
      <c r="W190" s="107">
        <f>SUM(W174,W166,W159,W154,W144,W131,W124,W113,W107,W100,W93,W87,W80,W73,W67,W61,W59,W54,W47,W41,W20,W137)</f>
        <v>220.66399999999996</v>
      </c>
      <c r="X190" s="108">
        <f>SUM(X174,X166,X159,X154,X144,X131,X124,X113,X107,X100,X93,X87,X80,X73,X67,X61,X59,X54,X47,X41,X20,X137,X76,X96)</f>
        <v>41.760000000000005</v>
      </c>
      <c r="Y190" s="105">
        <f>SUM(AB190,Z190)</f>
        <v>101.04000000000002</v>
      </c>
      <c r="Z190" s="106">
        <f>SUM(Z174,Z166,Z159,Z154,Z144,Z131,Z124,Z113,Z107,Z100,Z93,Z87,Z80,Z73,Z67,Z61,Z59,Z54,Z47,Z41,Z20,Z137,Z76)</f>
        <v>83.860000000000014</v>
      </c>
      <c r="AA190" s="107">
        <f>SUM(AA174,AA166,AA159,AA154,AA144,AA131,AA124,AA113,AA107,AA100,AA93,AA87,AA80,AA73,AA67,AA61,AA59,AA54,AA47,AA41,AA20,AA137)</f>
        <v>0</v>
      </c>
      <c r="AB190" s="108">
        <f>SUM(AB174,AB166,AB159,AB154,AB144,AB131,AB124,AB113,AB107,AB100,AB93,AB87,AB80,AB73,AB67,AB61,AB59,AB54,AB47,AB41,AB20,AB137,AB76,AB96)</f>
        <v>17.18</v>
      </c>
      <c r="AC190" s="105">
        <f>SUM(AF190,AD190)</f>
        <v>5.1099999999999994</v>
      </c>
      <c r="AD190" s="106">
        <f>SUM(AD174,AD166,AD159,AD154,AD144,AD131,AD124,AD113,AD107,AD100,AD93,AD87,AD80,AD73,AD67,AD61,AD59,AD54,AD47,AD41,AD20,AD137,AD76,AD83)</f>
        <v>4.5599999999999996</v>
      </c>
      <c r="AE190" s="107">
        <f>SUM(AE174,AE166,AE159,AE154,AE144,AE131,AE124,AE113,AE107,AE100,AE93,AE87,AE80,AE73,AE67,AE61,AE59,AE54,AE47,AE41,AE20,AE137)</f>
        <v>0</v>
      </c>
      <c r="AF190" s="108">
        <f>SUM(AF174,AF166,AF159,AF154,AF144,AF131,AF124,AF113,AF107,AF100,AF93,AF87,AF80,AF73,AF67,AF61,AF59,AF54,AF47,AF41,AF20,AF137,AF76,AF96,AF83)</f>
        <v>0.55000000000000004</v>
      </c>
      <c r="AG190" s="105">
        <f>SUM(AJ190,AH190)</f>
        <v>0</v>
      </c>
      <c r="AH190" s="106">
        <f>SUM(AH174,AH166,AH159,AH154,AH144,AH131,AH124,AH113,AH107,AH100,AH93,AH87,AH80,AH73,AH67,AH61,AH59,AH54,AH47,AH41,AH20,AH137,AH76)</f>
        <v>0</v>
      </c>
      <c r="AI190" s="107">
        <f>SUM(AI174,AI166,AI159,AI154,AI144,AI131,AI124,AI113,AI107,AI100,AI93,AI87,AI80,AI73,AI67,AI61,AI59,AI54,AI47,AI41,AI20,AI137)</f>
        <v>0</v>
      </c>
      <c r="AJ190" s="108">
        <f>SUM(AJ174,AJ166,AJ159,AJ154,AJ144,AJ131,AJ124,AJ113,AJ107,AJ100,AJ93,AJ87,AJ80,AJ73,AJ67,AJ61,AJ59,AJ54,AJ47,AJ41,AJ20,AJ137,AJ76,AJ96)</f>
        <v>0</v>
      </c>
      <c r="AK190" s="105">
        <f>SUM(AN190,AL190)</f>
        <v>1275.71</v>
      </c>
      <c r="AL190" s="106">
        <f>SUM(AL174,AL166,AL159,AL154,AL144,AL131,AL124,AL113,AL107,AL100,AL93,AL87,AL80,AL73,AL67,AL61,AL59,AL54,AL47,AL41,AL20,AL137,AL76)</f>
        <v>1233.4000000000001</v>
      </c>
      <c r="AM190" s="107">
        <f>SUM(AM174,AM166,AM159,AM154,AM144,AM131,AM124,AM113,AM107,AM100,AM93,AM87,AM80,AM73,AM67,AM61,AM59,AM54,AM47,AM41,AM20,AM137)</f>
        <v>220.66399999999996</v>
      </c>
      <c r="AN190" s="108">
        <f>SUM(AN174,AN166,AN159,AN154,AN144,AN131,AN124,AN113,AN107,AN100,AN93,AN87,AN80,AN73,AN67,AN61,AN59,AN54,AN47,AN41,AN20,AN137,AN76,AN96,AN83)</f>
        <v>42.31</v>
      </c>
      <c r="AO190" s="105">
        <f>SUM(AR190,AP190)</f>
        <v>101.04000000000002</v>
      </c>
      <c r="AP190" s="106">
        <f>SUM(AP174,AP166,AP159,AP154,AP144,AP131,AP124,AP113,AP107,AP100,AP93,AP87,AP80,AP73,AP67,AP61,AP59,AP54,AP47,AP41,AP20,AP137,AP76)</f>
        <v>83.860000000000014</v>
      </c>
      <c r="AQ190" s="107">
        <f>SUM(AQ174,AQ166,AQ159,AQ154,AQ144,AQ131,AQ124,AQ113,AQ107,AQ100,AQ93,AQ87,AQ80,AQ73,AQ67,AQ61,AQ59,AQ54,AQ47,AQ41,AQ20,AQ137)</f>
        <v>0</v>
      </c>
      <c r="AR190" s="108">
        <f>SUM(AR174,AR166,AR159,AR154,AR144,AR131,AR124,AR113,AR107,AR100,AR93,AR87,AR80,AR73,AR67,AR61,AR59,AR54,AR47,AR41,AR20,AR137,AR76,AR96)</f>
        <v>17.18</v>
      </c>
      <c r="AS190" s="105">
        <f>SUM(AV190,AT190)</f>
        <v>0.192</v>
      </c>
      <c r="AT190" s="106">
        <f>SUM(AT174,AT166,AT159,AT154,AT144,AT131,AT124,AT113,AT107,AT100,AT93,AT87,AT80,AT73,AT67,AT61,AT59,AT54,AT47,AT41,AT20,AT137,AT76,AT83)</f>
        <v>0.192</v>
      </c>
      <c r="AU190" s="107">
        <f>SUM(AU174,AU166,AU159,AU154,AU144,AU131,AU124,AU113,AU107,AU100,AU93,AU87,AU80,AU73,AU67,AU61,AU59,AU54,AU47,AU41,AU20,AU137)</f>
        <v>0</v>
      </c>
      <c r="AV190" s="108">
        <f>SUM(AV174,AV166,AV159,AV154,AV144,AV131,AV124,AV113,AV107,AV100,AV93,AV87,AV80,AV73,AV67,AV61,AV59,AV54,AV47,AV41,AV20,AV137,AV76,AV96,AV83)</f>
        <v>0</v>
      </c>
      <c r="AW190" s="105">
        <f>SUM(AZ190,AX190)</f>
        <v>0</v>
      </c>
      <c r="AX190" s="106">
        <f>SUM(AX174,AX166,AX159,AX154,AX144,AX131,AX124,AX113,AX107,AX100,AX93,AX87,AX80,AX73,AX67,AX61,AX59,AX54,AX47,AX41,AX20,AX137,AX76)</f>
        <v>0</v>
      </c>
      <c r="AY190" s="107">
        <f>SUM(AY174,AY166,AY159,AY154,AY144,AY131,AY124,AY113,AY107,AY100,AY93,AY87,AY80,AY73,AY67,AY61,AY59,AY54,AY47,AY41,AY20,AY137)</f>
        <v>0</v>
      </c>
      <c r="AZ190" s="108">
        <f>SUM(AZ174,AZ166,AZ159,AZ154,AZ144,AZ131,AZ124,AZ113,AZ107,AZ100,AZ93,AZ87,AZ80,AZ73,AZ67,AZ61,AZ59,AZ54,AZ47,AZ41,AZ20,AZ137,AZ76,AZ96)</f>
        <v>0</v>
      </c>
      <c r="BA190" s="105">
        <f>SUM(BD190,BB190)</f>
        <v>1275.902</v>
      </c>
      <c r="BB190" s="106">
        <f>SUM(BB174,BB166,BB159,BB154,BB144,BB131,BB124,BB113,BB107,BB100,BB93,BB87,BB80,BB73,BB67,BB61,BB59,BB54,BB47,BB41,BB20,BB137,BB76)</f>
        <v>1233.5920000000001</v>
      </c>
      <c r="BC190" s="107">
        <f>SUM(BC174,BC166,BC159,BC154,BC144,BC131,BC124,BC113,BC107,BC100,BC93,BC87,BC80,BC73,BC67,BC61,BC59,BC54,BC47,BC41,BC20,BC137)</f>
        <v>220.66399999999996</v>
      </c>
      <c r="BD190" s="108">
        <f>SUM(BD174,BD166,BD159,BD154,BD144,BD131,BD124,BD113,BD107,BD100,BD93,BD87,BD80,BD73,BD67,BD61,BD59,BD54,BD47,BD41,BD20,BD137,BD76,BD96,BD83)</f>
        <v>42.31</v>
      </c>
      <c r="BE190" s="105">
        <f>SUM(BH190,BF190)</f>
        <v>101.04000000000002</v>
      </c>
      <c r="BF190" s="106">
        <f>SUM(BF174,BF166,BF159,BF154,BF144,BF131,BF124,BF113,BF107,BF100,BF93,BF87,BF80,BF73,BF67,BF61,BF59,BF54,BF47,BF41,BF20,BF137,BF76)</f>
        <v>83.860000000000014</v>
      </c>
      <c r="BG190" s="107">
        <f>SUM(BG174,BG166,BG159,BG154,BG144,BG131,BG124,BG113,BG107,BG100,BG93,BG87,BG80,BG73,BG67,BG61,BG59,BG54,BG47,BG41,BG20,BG137)</f>
        <v>0</v>
      </c>
      <c r="BH190" s="108">
        <f>SUM(BH174,BH166,BH159,BH154,BH144,BH131,BH124,BH113,BH107,BH100,BH93,BH87,BH80,BH73,BH67,BH61,BH59,BH54,BH47,BH41,BH20,BH137,BH76,BH96)</f>
        <v>17.18</v>
      </c>
      <c r="BI190" s="105">
        <f>SUM(BL190,BJ190)</f>
        <v>0</v>
      </c>
      <c r="BJ190" s="106">
        <f>SUM(BJ174,BJ166,BJ159,BJ154,BJ144,BJ131,BJ124,BJ113,BJ107,BJ100,BJ93,BJ87,BJ80,BJ73,BJ67,BJ61,BJ59,BJ54,BJ47,BJ41,BJ20,BJ137,BJ76,BJ83)</f>
        <v>0</v>
      </c>
      <c r="BK190" s="107">
        <f>SUM(BK174,BK166,BK159,BK154,BK144,BK131,BK124,BK113,BK107,BK100,BK93,BK87,BK80,BK73,BK67,BK61,BK59,BK54,BK47,BK41,BK20,BK137)</f>
        <v>0</v>
      </c>
      <c r="BL190" s="108">
        <f>SUM(BL174,BL166,BL159,BL154,BL144,BL131,BL124,BL113,BL107,BL100,BL93,BL87,BL80,BL73,BL67,BL61,BL59,BL54,BL47,BL41,BL20,BL137,BL76,BL96,BL83)</f>
        <v>0</v>
      </c>
      <c r="BM190" s="105">
        <f>SUM(BP190,BN190)</f>
        <v>0</v>
      </c>
      <c r="BN190" s="106">
        <f>SUM(BN174,BN166,BN159,BN154,BN144,BN131,BN124,BN113,BN107,BN100,BN93,BN87,BN80,BN73,BN67,BN61,BN59,BN54,BN47,BN41,BN20,BN137,BN76)</f>
        <v>0</v>
      </c>
      <c r="BO190" s="107">
        <f>SUM(BO174,BO166,BO159,BO154,BO144,BO131,BO124,BO113,BO107,BO100,BO93,BO87,BO80,BO73,BO67,BO61,BO59,BO54,BO47,BO41,BO20,BO137)</f>
        <v>0</v>
      </c>
      <c r="BP190" s="108">
        <f>SUM(BP174,BP166,BP159,BP154,BP144,BP131,BP124,BP113,BP107,BP100,BP93,BP87,BP80,BP73,BP67,BP61,BP59,BP54,BP47,BP41,BP20,BP137,BP76,BP96)</f>
        <v>0</v>
      </c>
      <c r="BQ190" s="105">
        <f>SUM(BT190,BR190)</f>
        <v>1275.902</v>
      </c>
      <c r="BR190" s="106">
        <f>SUM(BR174,BR166,BR159,BR154,BR144,BR131,BR124,BR113,BR107,BR100,BR93,BR87,BR80,BR73,BR67,BR61,BR59,BR54,BR47,BR41,BR20,BR137,BR76)</f>
        <v>1233.5920000000001</v>
      </c>
      <c r="BS190" s="107">
        <f>SUM(BS174,BS166,BS159,BS154,BS144,BS131,BS124,BS113,BS107,BS100,BS93,BS87,BS80,BS73,BS67,BS61,BS59,BS54,BS47,BS41,BS20,BS137)</f>
        <v>220.66399999999996</v>
      </c>
      <c r="BT190" s="108">
        <f>SUM(BT174,BT166,BT159,BT154,BT144,BT131,BT124,BT113,BT107,BT100,BT93,BT87,BT80,BT73,BT67,BT61,BT59,BT54,BT47,BT41,BT20,BT137,BT76,BT96,BT83)</f>
        <v>42.31</v>
      </c>
      <c r="BU190" s="105">
        <f>SUM(BX190,BV190)</f>
        <v>101.04000000000002</v>
      </c>
      <c r="BV190" s="106">
        <f>SUM(BV174,BV166,BV159,BV154,BV144,BV131,BV124,BV113,BV107,BV100,BV93,BV87,BV80,BV73,BV67,BV61,BV59,BV54,BV47,BV41,BV20,BV137,BV76)</f>
        <v>83.860000000000014</v>
      </c>
      <c r="BW190" s="107">
        <f>SUM(BW174,BW166,BW159,BW154,BW144,BW131,BW124,BW113,BW107,BW100,BW93,BW87,BW80,BW73,BW67,BW61,BW59,BW54,BW47,BW41,BW20,BW137)</f>
        <v>0</v>
      </c>
      <c r="BX190" s="108">
        <f>SUM(BX174,BX166,BX159,BX154,BX144,BX131,BX124,BX113,BX107,BX100,BX93,BX87,BX80,BX73,BX67,BX61,BX59,BX54,BX47,BX41,BX20,BX137,BX76,BX96)</f>
        <v>17.18</v>
      </c>
      <c r="BY190" s="105">
        <f>SUM(CB190,BZ190)</f>
        <v>1.3</v>
      </c>
      <c r="BZ190" s="106">
        <f>SUM(BZ174,BZ166,BZ159,BZ154,BZ144,BZ131,BZ124,BZ113,BZ107,BZ100,BZ93,BZ87,BZ80,BZ73,BZ67,BZ61,BZ59,BZ54,BZ47,BZ41,BZ20,BZ137,BZ76,BZ83)</f>
        <v>1.3</v>
      </c>
      <c r="CA190" s="107">
        <f>SUM(CA174,CA166,CA159,CA154,CA144,CA131,CA124,CA113,CA107,CA100,CA93,CA87,CA80,CA73,CA67,CA61,CA59,CA54,CA47,CA41,CA20,CA137)</f>
        <v>0</v>
      </c>
      <c r="CB190" s="108">
        <f>SUM(CB174,CB166,CB159,CB154,CB144,CB131,CB124,CB113,CB107,CB100,CB93,CB87,CB80,CB73,CB67,CB61,CB59,CB54,CB47,CB41,CB20,CB137,CB76,CB96,CB83)</f>
        <v>0</v>
      </c>
      <c r="CC190" s="105">
        <f>SUM(CF190,CD190)</f>
        <v>0</v>
      </c>
      <c r="CD190" s="106">
        <f>SUM(CD174,CD166,CD159,CD154,CD144,CD131,CD124,CD113,CD107,CD100,CD93,CD87,CD80,CD73,CD67,CD61,CD59,CD54,CD47,CD41,CD20,CD137,CD76)</f>
        <v>0</v>
      </c>
      <c r="CE190" s="107">
        <f>SUM(CE174,CE166,CE159,CE154,CE144,CE131,CE124,CE113,CE107,CE100,CE93,CE87,CE80,CE73,CE67,CE61,CE59,CE54,CE47,CE41,CE20,CE137)</f>
        <v>0</v>
      </c>
      <c r="CF190" s="108">
        <f>SUM(CF174,CF166,CF159,CF154,CF144,CF131,CF124,CF113,CF107,CF100,CF93,CF87,CF80,CF73,CF67,CF61,CF59,CF54,CF47,CF41,CF20,CF137,CF76,CF96)</f>
        <v>0</v>
      </c>
      <c r="CG190" s="105">
        <f>SUM(CJ190,CH190)</f>
        <v>1277.2020000000002</v>
      </c>
      <c r="CH190" s="106">
        <f>SUM(CH174,CH166,CH159,CH154,CH144,CH131,CH124,CH113,CH107,CH100,CH93,CH87,CH80,CH73,CH67,CH61,CH59,CH54,CH47,CH41,CH20,CH137,CH76)</f>
        <v>1234.8920000000003</v>
      </c>
      <c r="CI190" s="107">
        <f>SUM(CI174,CI166,CI159,CI154,CI144,CI131,CI124,CI113,CI107,CI100,CI93,CI87,CI80,CI73,CI67,CI61,CI59,CI54,CI47,CI41,CI20,CI137)</f>
        <v>220.66399999999996</v>
      </c>
      <c r="CJ190" s="108">
        <f>SUM(CJ174,CJ166,CJ159,CJ154,CJ144,CJ131,CJ124,CJ113,CJ107,CJ100,CJ93,CJ87,CJ80,CJ73,CJ67,CJ61,CJ59,CJ54,CJ47,CJ41,CJ20,CJ137,CJ76,CJ96,CJ83)</f>
        <v>42.31</v>
      </c>
      <c r="CK190" s="105">
        <f>SUM(CN190,CL190)</f>
        <v>101.04000000000002</v>
      </c>
      <c r="CL190" s="106">
        <f>SUM(CL174,CL166,CL159,CL154,CL144,CL131,CL124,CL113,CL107,CL100,CL93,CL87,CL80,CL73,CL67,CL61,CL59,CL54,CL47,CL41,CL20,CL137,CL76)</f>
        <v>83.860000000000014</v>
      </c>
      <c r="CM190" s="107">
        <f>SUM(CM174,CM166,CM159,CM154,CM144,CM131,CM124,CM113,CM107,CM100,CM93,CM87,CM80,CM73,CM67,CM61,CM59,CM54,CM47,CM41,CM20,CM137)</f>
        <v>0</v>
      </c>
      <c r="CN190" s="108">
        <f>SUM(CN174,CN166,CN159,CN154,CN144,CN131,CN124,CN113,CN107,CN100,CN93,CN87,CN80,CN73,CN67,CN61,CN59,CN54,CN47,CN41,CN20,CN137,CN76,CN96)</f>
        <v>17.18</v>
      </c>
      <c r="CO190" s="105">
        <f>SUM(CR190,CP190)</f>
        <v>5.0999999999999996</v>
      </c>
      <c r="CP190" s="106">
        <f>SUM(CP174,CP166,CP159,CP154,CP144,CP131,CP124,CP113,CP107,CP100,CP93,CP87,CP80,CP73,CP67,CP61,CP59,CP54,CP47,CP41,CP20,CP137,CP76,CP83,CP103)</f>
        <v>4.8469999999999995</v>
      </c>
      <c r="CQ190" s="107">
        <f>SUM(CQ174,CQ166,CQ159,CQ154,CQ144,CQ131,CQ124,CQ113,CQ107,CQ100,CQ93,CQ87,CQ80,CQ73,CQ67,CQ61,CQ59,CQ54,CQ47,CQ41,CQ20,CQ137,CQ103)</f>
        <v>5.4640000000000004</v>
      </c>
      <c r="CR190" s="108">
        <f>SUM(CR174,CR166,CR159,CR154,CR144,CR131,CR124,CR113,CR107,CR100,CR93,CR87,CR80,CR73,CR67,CR61,CR59,CR54,CR47,CR41,CR20,CR137,CR76,CR96,CR83,CR103)</f>
        <v>0.25300000000000011</v>
      </c>
      <c r="CS190" s="105">
        <f>SUM(CV190,CT190)</f>
        <v>0</v>
      </c>
      <c r="CT190" s="106">
        <f>SUM(CT174,CT166,CT159,CT154,CT144,CT131,CT124,CT113,CT107,CT100,CT93,CT87,CT80,CT73,CT67,CT61,CT59,CT54,CT47,CT41,CT20,CT137,CT76)</f>
        <v>0</v>
      </c>
      <c r="CU190" s="107">
        <f>SUM(CU174,CU166,CU159,CU154,CU144,CU131,CU124,CU113,CU107,CU100,CU93,CU87,CU80,CU73,CU67,CU61,CU59,CU54,CU47,CU41,CU20,CU137)</f>
        <v>0</v>
      </c>
      <c r="CV190" s="108">
        <f>SUM(CV174,CV166,CV159,CV154,CV144,CV131,CV124,CV113,CV107,CV100,CV93,CV87,CV80,CV73,CV67,CV61,CV59,CV54,CV47,CV41,CV20,CV137,CV76,CV96)</f>
        <v>0</v>
      </c>
      <c r="CW190" s="105">
        <f>SUM(CZ190,CX190)</f>
        <v>1282.3020000000001</v>
      </c>
      <c r="CX190" s="106">
        <f>SUM(CX174,CX166,CX159,CX154,CX144,CX131,CX124,CX113,CX107,CX100,CX93,CX87,CX80,CX73,CX67,CX61,CX59,CX54,CX47,CX41,CX20,CX137,CX76,CX83,CX103)</f>
        <v>1239.739</v>
      </c>
      <c r="CY190" s="107">
        <f>SUM(CY174,CY166,CY159,CY154,CY144,CY131,CY124,CY113,CY107,CY100,CY93,CY87,CY80,CY73,CY67,CY61,CY59,CY54,CY47,CY41,CY20,CY137,CY103)</f>
        <v>226.12799999999999</v>
      </c>
      <c r="CZ190" s="108">
        <f>SUM(CZ174,CZ166,CZ159,CZ154,CZ144,CZ131,CZ124,CZ113,CZ107,CZ100,CZ93,CZ87,CZ80,CZ73,CZ67,CZ61,CZ59,CZ54,CZ47,CZ41,CZ20,CZ137,CZ76,CZ96,CZ83,CZ103)</f>
        <v>42.563000000000002</v>
      </c>
      <c r="DA190" s="105">
        <f>SUM(DD190,DB190)</f>
        <v>101.04000000000002</v>
      </c>
      <c r="DB190" s="106">
        <f>SUM(DB174,DB166,DB159,DB154,DB144,DB131,DB124,DB113,DB107,DB100,DB93,DB87,DB80,DB73,DB67,DB61,DB59,DB54,DB47,DB41,DB20,DB137,DB76)</f>
        <v>83.860000000000014</v>
      </c>
      <c r="DC190" s="107">
        <f>SUM(DC174,DC166,DC159,DC154,DC144,DC131,DC124,DC113,DC107,DC100,DC93,DC87,DC80,DC73,DC67,DC61,DC59,DC54,DC47,DC41,DC20,DC137)</f>
        <v>0</v>
      </c>
      <c r="DD190" s="108">
        <f>SUM(DD174,DD166,DD159,DD154,DD144,DD131,DD124,DD113,DD107,DD100,DD93,DD87,DD80,DD73,DD67,DD61,DD59,DD54,DD47,DD41,DD20,DD137,DD76,DD96)</f>
        <v>17.18</v>
      </c>
      <c r="DE190" s="105">
        <f>SUM(DH190,DF190)</f>
        <v>35.719999999999992</v>
      </c>
      <c r="DF190" s="106">
        <f>SUM(DF174,DF166,DF159,DF154,DF144,DF131,DF124,DF113,DF107,DF100,DF93,DF87,DF80,DF73,DF67,DF61,DF59,DF54,DF47,DF41,DF20,DF137,DF76,DF83,DF103)</f>
        <v>35.069999999999993</v>
      </c>
      <c r="DG190" s="107">
        <f>SUM(DG174,DG166,DG159,DG154,DG144,DG131,DG124,DG113,DG107,DG100,DG93,DG87,DG80,DG73,DG67,DG61,DG59,DG54,DG47,DG41,DG20,DG137,DG103)</f>
        <v>17.920000000000002</v>
      </c>
      <c r="DH190" s="108">
        <f>SUM(DH174,DH166,DH159,DH154,DH144,DH131,DH124,DH113,DH107,DH100,DH93,DH87,DH80,DH73,DH67,DH61,DH59,DH54,DH47,DH41,DH20,DH137,DH76,DH96,DH83,DH103)</f>
        <v>0.65</v>
      </c>
      <c r="DI190" s="105">
        <f>SUM(DL190,DJ190)</f>
        <v>0</v>
      </c>
      <c r="DJ190" s="106">
        <f>SUM(DJ174,DJ166,DJ159,DJ154,DJ144,DJ131,DJ124,DJ113,DJ107,DJ100,DJ93,DJ87,DJ80,DJ73,DJ67,DJ61,DJ59,DJ54,DJ47,DJ41,DJ20,DJ137,DJ76)</f>
        <v>0</v>
      </c>
      <c r="DK190" s="107">
        <f>SUM(DK174,DK166,DK159,DK154,DK144,DK131,DK124,DK113,DK107,DK100,DK93,DK87,DK80,DK73,DK67,DK61,DK59,DK54,DK47,DK41,DK20,DK137)</f>
        <v>0</v>
      </c>
      <c r="DL190" s="108">
        <f>SUM(DL174,DL166,DL159,DL154,DL144,DL131,DL124,DL113,DL107,DL100,DL93,DL87,DL80,DL73,DL67,DL61,DL59,DL54,DL47,DL41,DL20,DL137,DL76,DL96)</f>
        <v>0</v>
      </c>
      <c r="DM190" s="105">
        <f>SUM(DP190,DN190)</f>
        <v>1318.0219999999999</v>
      </c>
      <c r="DN190" s="106">
        <f>SUM(DN174,DN166,DN159,DN154,DN144,DN131,DN124,DN113,DN107,DN100,DN93,DN87,DN80,DN73,DN67,DN61,DN59,DN54,DN47,DN41,DN20,DN137,DN76,DN83,DN103)</f>
        <v>1274.809</v>
      </c>
      <c r="DO190" s="107">
        <f>SUM(DO174,DO166,DO159,DO154,DO144,DO131,DO124,DO113,DO107,DO100,DO93,DO87,DO80,DO73,DO67,DO61,DO59,DO54,DO47,DO41,DO20,DO137,DO103)</f>
        <v>244.048</v>
      </c>
      <c r="DP190" s="108">
        <f>SUM(DP174,DP166,DP159,DP154,DP144,DP131,DP124,DP113,DP107,DP100,DP93,DP87,DP80,DP73,DP67,DP61,DP59,DP54,DP47,DP41,DP20,DP137,DP76,DP96,DP83,DP103)</f>
        <v>43.212999999999994</v>
      </c>
      <c r="DQ190" s="105">
        <f>SUM(DT190,DR190)</f>
        <v>101.04000000000002</v>
      </c>
      <c r="DR190" s="106">
        <f>SUM(DR174,DR166,DR159,DR154,DR144,DR131,DR124,DR113,DR107,DR100,DR93,DR87,DR80,DR73,DR67,DR61,DR59,DR54,DR47,DR41,DR20,DR137,DR76)</f>
        <v>83.860000000000014</v>
      </c>
      <c r="DS190" s="107">
        <f>SUM(DS174,DS166,DS159,DS154,DS144,DS131,DS124,DS113,DS107,DS100,DS93,DS87,DS80,DS73,DS67,DS61,DS59,DS54,DS47,DS41,DS20,DS137)</f>
        <v>0</v>
      </c>
      <c r="DT190" s="108">
        <f>SUM(DT174,DT166,DT159,DT154,DT144,DT131,DT124,DT113,DT107,DT100,DT93,DT87,DT80,DT73,DT67,DT61,DT59,DT54,DT47,DT41,DT20,DT137,DT76,DT96)</f>
        <v>17.18</v>
      </c>
      <c r="DU190" s="105">
        <f>SUM(DX190,DV190)</f>
        <v>11.619999999999997</v>
      </c>
      <c r="DV190" s="106">
        <f>SUM(DV174,DV166,DV159,DV154,DV144,DV131,DV124,DV113,DV107,DV100,DV93,DV87,DV80,DV73,DV67,DV61,DV59,DV54,DV47,DV41,DV20,DV137,DV76,DV83,DV103)</f>
        <v>6.6199999999999983</v>
      </c>
      <c r="DW190" s="107">
        <f>SUM(DW174,DW166,DW159,DW154,DW144,DW131,DW124,DW113,DW107,DW100,DW93,DW87,DW80,DW73,DW67,DW61,DW59,DW54,DW47,DW41,DW20,DW137,DW103)</f>
        <v>-0.33700000000000002</v>
      </c>
      <c r="DX190" s="108">
        <f>SUM(DX174,DX166,DX159,DX154,DX144,DX131,DX124,DX113,DX107,DX100,DX93,DX87,DX80,DX73,DX67,DX61,DX59,DX54,DX47,DX41,DX20,DX137,DX76,DX96,DX83,DX103)</f>
        <v>5</v>
      </c>
      <c r="DY190" s="105">
        <f>SUM(EB190,DZ190)</f>
        <v>0</v>
      </c>
      <c r="DZ190" s="106">
        <f>SUM(DZ174,DZ166,DZ159,DZ154,DZ144,DZ131,DZ124,DZ113,DZ107,DZ100,DZ93,DZ87,DZ80,DZ73,DZ67,DZ61,DZ59,DZ54,DZ47,DZ41,DZ20,DZ137,DZ76)</f>
        <v>0</v>
      </c>
      <c r="EA190" s="107">
        <f>SUM(EA174,EA166,EA159,EA154,EA144,EA131,EA124,EA113,EA107,EA100,EA93,EA87,EA80,EA73,EA67,EA61,EA59,EA54,EA47,EA41,EA20,EA137)</f>
        <v>0</v>
      </c>
      <c r="EB190" s="108">
        <f>SUM(EB174,EB166,EB159,EB154,EB144,EB131,EB124,EB113,EB107,EB100,EB93,EB87,EB80,EB73,EB67,EB61,EB59,EB54,EB47,EB41,EB20,EB137,EB76,EB96)</f>
        <v>0</v>
      </c>
      <c r="EC190" s="105">
        <f>SUM(EF190,ED190)</f>
        <v>1329.6419999999998</v>
      </c>
      <c r="ED190" s="106">
        <f>SUM(ED174,ED166,ED159,ED154,ED144,ED131,ED124,ED113,ED107,ED100,ED93,ED87,ED80,ED73,ED67,ED61,ED59,ED54,ED47,ED41,ED20,ED137,ED76,ED83,ED103)</f>
        <v>1281.4289999999999</v>
      </c>
      <c r="EE190" s="107">
        <f>SUM(EE174,EE166,EE159,EE154,EE144,EE131,EE124,EE113,EE107,EE100,EE93,EE87,EE80,EE73,EE67,EE61,EE59,EE54,EE47,EE41,EE20,EE137,EE103)</f>
        <v>243.71099999999998</v>
      </c>
      <c r="EF190" s="108">
        <f>SUM(EF174,EF166,EF159,EF154,EF144,EF131,EF124,EF113,EF107,EF100,EF93,EF87,EF80,EF73,EF67,EF61,EF59,EF54,EF47,EF41,EF20,EF137,EF76,EF96,EF83,EF103)</f>
        <v>48.212999999999994</v>
      </c>
      <c r="EG190" s="105">
        <f>SUM(EJ190,EH190)</f>
        <v>101.04000000000002</v>
      </c>
      <c r="EH190" s="106">
        <f>SUM(EH174,EH166,EH159,EH154,EH144,EH131,EH124,EH113,EH107,EH100,EH93,EH87,EH80,EH73,EH67,EH61,EH59,EH54,EH47,EH41,EH20,EH137,EH76)</f>
        <v>83.860000000000014</v>
      </c>
      <c r="EI190" s="107">
        <f>SUM(EI174,EI166,EI159,EI154,EI144,EI131,EI124,EI113,EI107,EI100,EI93,EI87,EI80,EI73,EI67,EI61,EI59,EI54,EI47,EI41,EI20,EI137)</f>
        <v>0</v>
      </c>
      <c r="EJ190" s="108">
        <f>SUM(EJ174,EJ166,EJ159,EJ154,EJ144,EJ131,EJ124,EJ113,EJ107,EJ100,EJ93,EJ87,EJ80,EJ73,EJ67,EJ61,EJ59,EJ54,EJ47,EJ41,EJ20,EJ137,EJ76,EJ96)</f>
        <v>17.18</v>
      </c>
      <c r="EK190" s="163">
        <f t="shared" si="1402"/>
        <v>99.686999999999671</v>
      </c>
      <c r="EL190" s="163">
        <f t="shared" si="1403"/>
        <v>39.745000000000118</v>
      </c>
      <c r="EM190" s="105">
        <f>SUM(EP190,EN190)</f>
        <v>1369.3869999999999</v>
      </c>
      <c r="EN190" s="106">
        <f>SUM(EN174,EN166,EN159,EN154,EN144,EN131,EN124,EN113,EN107,EN100,EN93,EN87,EN80,EN73,EN67,EN61,EN59,EN54,EN47,EN41,EN20,EN137,EN76,EN83,EN103,EN96,EN32,EN150,EN119,EN50,EN139)</f>
        <v>1336.1569999999999</v>
      </c>
      <c r="EO190" s="107">
        <f>SUM(EO174,EO166,EO159,EO154,EO144,EO131,EO124,EO113,EO107,EO100,EO93,EO87,EO80,EO73,EO67,EO61,EO59,EO54,EO47,EO41,EO20,EO137,EO76,EO83,EO103,EO96,EO32,EO150,EO119,EO50)</f>
        <v>291.79399999999998</v>
      </c>
      <c r="EP190" s="108">
        <f t="shared" ref="EP190" si="2015">SUM(EP174,EP166,EP159,EP154,EP144,EP131,EP124,EP113,EP107,EP100,EP93,EP87,EP80,EP73,EP67,EP61,EP59,EP54,EP47,EP41,EP20,EP137,EP76,EP83,EP103,EP96,EP32,EP150,EP119,EP50)</f>
        <v>33.229999999999997</v>
      </c>
      <c r="EQ190" s="105">
        <f>SUM(ET190,ER190)</f>
        <v>128.78699999999998</v>
      </c>
      <c r="ER190" s="106">
        <f>SUM(ER174,ER166,ER159,ER154,ER144,ER131,ER124,ER113,ER107,ER100,ER93,ER87,ER80,ER73,ER67,ER61,ER59,ER54,ER47,ER41,ER20,ER137,ER76,ER32,ER139)</f>
        <v>122.80699999999999</v>
      </c>
      <c r="ES190" s="107">
        <f>SUM(ES174,ES166,ES159,ES154,ES144,ES131,ES124,ES113,ES107,ES100,ES93,ES87,ES80,ES73,ES67,ES61,ES59,ES54,ES47,ES41,ES20,ES137)</f>
        <v>17.907</v>
      </c>
      <c r="ET190" s="108">
        <f>SUM(ET174,ET166,ET159,ET154,ET144,ET131,ET124,ET113,ET107,ET100,ET93,ET87,ET80,ET73,ET67,ET61,ET59,ET54,ET47,ET41,ET20,ET137,ET76,ET96)</f>
        <v>5.98</v>
      </c>
    </row>
    <row r="191" spans="1:150" ht="23.25" customHeight="1" thickBot="1" x14ac:dyDescent="0.3">
      <c r="A191" s="15"/>
      <c r="B191" s="89" t="s">
        <v>123</v>
      </c>
      <c r="C191" s="714" t="s">
        <v>119</v>
      </c>
      <c r="D191" s="715"/>
      <c r="E191" s="130">
        <f t="shared" ref="E191" si="2016">SUM(H191,F191)</f>
        <v>166.13800000000003</v>
      </c>
      <c r="F191" s="131">
        <f>SUM(F33)</f>
        <v>17.228999999999999</v>
      </c>
      <c r="G191" s="132">
        <f>SUM(G33)</f>
        <v>0</v>
      </c>
      <c r="H191" s="133">
        <f>SUM(H33)</f>
        <v>148.90900000000002</v>
      </c>
      <c r="I191" s="130">
        <f t="shared" ref="I191" si="2017">SUM(L191,J191)</f>
        <v>0</v>
      </c>
      <c r="J191" s="131">
        <f>SUM(J33)</f>
        <v>0</v>
      </c>
      <c r="K191" s="132">
        <f>SUM(K33)</f>
        <v>0</v>
      </c>
      <c r="L191" s="133">
        <f>SUM(L33)</f>
        <v>0</v>
      </c>
      <c r="M191" s="130">
        <f t="shared" ref="M191" si="2018">SUM(P191,N191)</f>
        <v>0</v>
      </c>
      <c r="N191" s="131">
        <f>SUM(N33)</f>
        <v>0</v>
      </c>
      <c r="O191" s="132">
        <f>SUM(O33)</f>
        <v>0</v>
      </c>
      <c r="P191" s="133">
        <f>SUM(P33)</f>
        <v>0</v>
      </c>
      <c r="Q191" s="130">
        <f t="shared" ref="Q191" si="2019">SUM(T191,R191)</f>
        <v>0</v>
      </c>
      <c r="R191" s="131">
        <f>SUM(R33)</f>
        <v>0</v>
      </c>
      <c r="S191" s="132">
        <f>SUM(S33)</f>
        <v>0</v>
      </c>
      <c r="T191" s="133">
        <f>SUM(T33)</f>
        <v>0</v>
      </c>
      <c r="U191" s="130">
        <f t="shared" ref="U191" si="2020">SUM(X191,V191)</f>
        <v>166.13800000000003</v>
      </c>
      <c r="V191" s="131">
        <f>SUM(V33)</f>
        <v>17.228999999999999</v>
      </c>
      <c r="W191" s="132">
        <f>SUM(W33)</f>
        <v>0</v>
      </c>
      <c r="X191" s="133">
        <f>SUM(X33)</f>
        <v>148.90900000000002</v>
      </c>
      <c r="Y191" s="130">
        <f t="shared" ref="Y191" si="2021">SUM(AB191,Z191)</f>
        <v>0</v>
      </c>
      <c r="Z191" s="131">
        <f>SUM(Z33)</f>
        <v>0</v>
      </c>
      <c r="AA191" s="132">
        <f>SUM(AA33)</f>
        <v>0</v>
      </c>
      <c r="AB191" s="133">
        <f>SUM(AB33)</f>
        <v>0</v>
      </c>
      <c r="AC191" s="130">
        <f t="shared" ref="AC191" si="2022">SUM(AF191,AD191)</f>
        <v>0</v>
      </c>
      <c r="AD191" s="131">
        <f>SUM(AD33)</f>
        <v>0</v>
      </c>
      <c r="AE191" s="132">
        <f>SUM(AE33)</f>
        <v>0</v>
      </c>
      <c r="AF191" s="133">
        <f>SUM(AF33)</f>
        <v>0</v>
      </c>
      <c r="AG191" s="130">
        <f t="shared" ref="AG191" si="2023">SUM(AJ191,AH191)</f>
        <v>0</v>
      </c>
      <c r="AH191" s="131">
        <f>SUM(AH33)</f>
        <v>0</v>
      </c>
      <c r="AI191" s="132">
        <f>SUM(AI33)</f>
        <v>0</v>
      </c>
      <c r="AJ191" s="133">
        <f>SUM(AJ33)</f>
        <v>0</v>
      </c>
      <c r="AK191" s="130">
        <f t="shared" ref="AK191" si="2024">SUM(AN191,AL191)</f>
        <v>166.13800000000003</v>
      </c>
      <c r="AL191" s="131">
        <f>SUM(AL33)</f>
        <v>17.228999999999999</v>
      </c>
      <c r="AM191" s="132">
        <f>SUM(AM33)</f>
        <v>0</v>
      </c>
      <c r="AN191" s="133">
        <f>SUM(AN33)</f>
        <v>148.90900000000002</v>
      </c>
      <c r="AO191" s="130">
        <f t="shared" ref="AO191" si="2025">SUM(AR191,AP191)</f>
        <v>0</v>
      </c>
      <c r="AP191" s="131">
        <f>SUM(AP33)</f>
        <v>0</v>
      </c>
      <c r="AQ191" s="132">
        <f>SUM(AQ33)</f>
        <v>0</v>
      </c>
      <c r="AR191" s="133">
        <f>SUM(AR33)</f>
        <v>0</v>
      </c>
      <c r="AS191" s="130">
        <f t="shared" ref="AS191" si="2026">SUM(AV191,AT191)</f>
        <v>0</v>
      </c>
      <c r="AT191" s="131">
        <f>SUM(AT33)</f>
        <v>0</v>
      </c>
      <c r="AU191" s="132">
        <f>SUM(AU33)</f>
        <v>0</v>
      </c>
      <c r="AV191" s="133">
        <f>SUM(AV33)</f>
        <v>0</v>
      </c>
      <c r="AW191" s="130">
        <f t="shared" ref="AW191" si="2027">SUM(AZ191,AX191)</f>
        <v>0</v>
      </c>
      <c r="AX191" s="131">
        <f>SUM(AX33)</f>
        <v>0</v>
      </c>
      <c r="AY191" s="132">
        <f>SUM(AY33)</f>
        <v>0</v>
      </c>
      <c r="AZ191" s="133">
        <f>SUM(AZ33)</f>
        <v>0</v>
      </c>
      <c r="BA191" s="130">
        <f t="shared" ref="BA191" si="2028">SUM(BD191,BB191)</f>
        <v>166.13800000000003</v>
      </c>
      <c r="BB191" s="131">
        <f>SUM(BB33)</f>
        <v>17.228999999999999</v>
      </c>
      <c r="BC191" s="132">
        <f>SUM(BC33)</f>
        <v>0</v>
      </c>
      <c r="BD191" s="133">
        <f>SUM(BD33)</f>
        <v>148.90900000000002</v>
      </c>
      <c r="BE191" s="130">
        <f t="shared" ref="BE191" si="2029">SUM(BH191,BF191)</f>
        <v>0</v>
      </c>
      <c r="BF191" s="131">
        <f>SUM(BF33)</f>
        <v>0</v>
      </c>
      <c r="BG191" s="132">
        <f>SUM(BG33)</f>
        <v>0</v>
      </c>
      <c r="BH191" s="133">
        <f>SUM(BH33)</f>
        <v>0</v>
      </c>
      <c r="BI191" s="130">
        <f t="shared" ref="BI191" si="2030">SUM(BL191,BJ191)</f>
        <v>0</v>
      </c>
      <c r="BJ191" s="131">
        <f>SUM(BJ33)</f>
        <v>0</v>
      </c>
      <c r="BK191" s="132">
        <f>SUM(BK33)</f>
        <v>0</v>
      </c>
      <c r="BL191" s="133">
        <f>SUM(BL33)</f>
        <v>0</v>
      </c>
      <c r="BM191" s="130">
        <f t="shared" ref="BM191" si="2031">SUM(BP191,BN191)</f>
        <v>0</v>
      </c>
      <c r="BN191" s="131">
        <f>SUM(BN33)</f>
        <v>0</v>
      </c>
      <c r="BO191" s="132">
        <f>SUM(BO33)</f>
        <v>0</v>
      </c>
      <c r="BP191" s="133">
        <f>SUM(BP33)</f>
        <v>0</v>
      </c>
      <c r="BQ191" s="130">
        <f t="shared" ref="BQ191" si="2032">SUM(BT191,BR191)</f>
        <v>166.13800000000003</v>
      </c>
      <c r="BR191" s="131">
        <f>SUM(BR33)</f>
        <v>17.228999999999999</v>
      </c>
      <c r="BS191" s="132">
        <f>SUM(BS33)</f>
        <v>0</v>
      </c>
      <c r="BT191" s="133">
        <f>SUM(BT33)</f>
        <v>148.90900000000002</v>
      </c>
      <c r="BU191" s="130">
        <f t="shared" ref="BU191" si="2033">SUM(BX191,BV191)</f>
        <v>0</v>
      </c>
      <c r="BV191" s="131">
        <f>SUM(BV33)</f>
        <v>0</v>
      </c>
      <c r="BW191" s="132">
        <f>SUM(BW33)</f>
        <v>0</v>
      </c>
      <c r="BX191" s="133">
        <f>SUM(BX33)</f>
        <v>0</v>
      </c>
      <c r="BY191" s="130">
        <f t="shared" ref="BY191" si="2034">SUM(CB191,BZ191)</f>
        <v>0</v>
      </c>
      <c r="BZ191" s="131">
        <f>SUM(BZ33)</f>
        <v>0</v>
      </c>
      <c r="CA191" s="132">
        <f>SUM(CA33)</f>
        <v>0</v>
      </c>
      <c r="CB191" s="133">
        <f>SUM(CB33)</f>
        <v>0</v>
      </c>
      <c r="CC191" s="130">
        <f t="shared" ref="CC191" si="2035">SUM(CF191,CD191)</f>
        <v>0</v>
      </c>
      <c r="CD191" s="131">
        <f>SUM(CD33)</f>
        <v>0</v>
      </c>
      <c r="CE191" s="132">
        <f>SUM(CE33)</f>
        <v>0</v>
      </c>
      <c r="CF191" s="133">
        <f>SUM(CF33)</f>
        <v>0</v>
      </c>
      <c r="CG191" s="130">
        <f t="shared" ref="CG191" si="2036">SUM(CJ191,CH191)</f>
        <v>166.13800000000003</v>
      </c>
      <c r="CH191" s="131">
        <f>SUM(CH33)</f>
        <v>17.228999999999999</v>
      </c>
      <c r="CI191" s="132">
        <f>SUM(CI33)</f>
        <v>0</v>
      </c>
      <c r="CJ191" s="133">
        <f>SUM(CJ33)</f>
        <v>148.90900000000002</v>
      </c>
      <c r="CK191" s="130">
        <f t="shared" ref="CK191" si="2037">SUM(CN191,CL191)</f>
        <v>0</v>
      </c>
      <c r="CL191" s="131">
        <f>SUM(CL33)</f>
        <v>0</v>
      </c>
      <c r="CM191" s="132">
        <f>SUM(CM33)</f>
        <v>0</v>
      </c>
      <c r="CN191" s="133">
        <f>SUM(CN33)</f>
        <v>0</v>
      </c>
      <c r="CO191" s="130">
        <f t="shared" ref="CO191" si="2038">SUM(CR191,CP191)</f>
        <v>0</v>
      </c>
      <c r="CP191" s="131">
        <f>SUM(CP33)</f>
        <v>0</v>
      </c>
      <c r="CQ191" s="132">
        <f>SUM(CQ33)</f>
        <v>0</v>
      </c>
      <c r="CR191" s="133">
        <f>SUM(CR33)</f>
        <v>0</v>
      </c>
      <c r="CS191" s="130">
        <f t="shared" ref="CS191" si="2039">SUM(CV191,CT191)</f>
        <v>0</v>
      </c>
      <c r="CT191" s="131">
        <f>SUM(CT33)</f>
        <v>0</v>
      </c>
      <c r="CU191" s="132">
        <f>SUM(CU33)</f>
        <v>0</v>
      </c>
      <c r="CV191" s="133">
        <f>SUM(CV33)</f>
        <v>0</v>
      </c>
      <c r="CW191" s="130">
        <f t="shared" ref="CW191" si="2040">SUM(CZ191,CX191)</f>
        <v>166.13800000000003</v>
      </c>
      <c r="CX191" s="131">
        <f>SUM(CX33)</f>
        <v>17.228999999999999</v>
      </c>
      <c r="CY191" s="132">
        <f>SUM(CY33)</f>
        <v>0</v>
      </c>
      <c r="CZ191" s="133">
        <f>SUM(CZ33)</f>
        <v>148.90900000000002</v>
      </c>
      <c r="DA191" s="130">
        <f t="shared" ref="DA191" si="2041">SUM(DD191,DB191)</f>
        <v>0</v>
      </c>
      <c r="DB191" s="131">
        <f>SUM(DB33)</f>
        <v>0</v>
      </c>
      <c r="DC191" s="132">
        <f>SUM(DC33)</f>
        <v>0</v>
      </c>
      <c r="DD191" s="133">
        <f>SUM(DD33)</f>
        <v>0</v>
      </c>
      <c r="DE191" s="130">
        <f t="shared" ref="DE191" si="2042">SUM(DH191,DF191)</f>
        <v>0</v>
      </c>
      <c r="DF191" s="131">
        <f>SUM(DF33)</f>
        <v>-17.228999999999999</v>
      </c>
      <c r="DG191" s="132">
        <f>SUM(DG33)</f>
        <v>0</v>
      </c>
      <c r="DH191" s="133">
        <f>SUM(DH33)</f>
        <v>17.228999999999999</v>
      </c>
      <c r="DI191" s="130">
        <f t="shared" ref="DI191" si="2043">SUM(DL191,DJ191)</f>
        <v>0</v>
      </c>
      <c r="DJ191" s="131">
        <f>SUM(DJ33)</f>
        <v>0</v>
      </c>
      <c r="DK191" s="132">
        <f>SUM(DK33)</f>
        <v>0</v>
      </c>
      <c r="DL191" s="133">
        <f>SUM(DL33)</f>
        <v>0</v>
      </c>
      <c r="DM191" s="130">
        <f t="shared" ref="DM191" si="2044">SUM(DP191,DN191)</f>
        <v>166.13800000000003</v>
      </c>
      <c r="DN191" s="131">
        <f>SUM(DN33)</f>
        <v>0</v>
      </c>
      <c r="DO191" s="132">
        <f>SUM(DO33)</f>
        <v>0</v>
      </c>
      <c r="DP191" s="133">
        <f>SUM(DP33)</f>
        <v>166.13800000000003</v>
      </c>
      <c r="DQ191" s="130">
        <f t="shared" ref="DQ191" si="2045">SUM(DT191,DR191)</f>
        <v>0</v>
      </c>
      <c r="DR191" s="131">
        <f>SUM(DR33)</f>
        <v>0</v>
      </c>
      <c r="DS191" s="132">
        <f>SUM(DS33)</f>
        <v>0</v>
      </c>
      <c r="DT191" s="133">
        <f>SUM(DT33)</f>
        <v>0</v>
      </c>
      <c r="DU191" s="130">
        <f t="shared" ref="DU191" si="2046">SUM(DX191,DV191)</f>
        <v>17.228999999999999</v>
      </c>
      <c r="DV191" s="131">
        <f>SUM(DV33)</f>
        <v>17.228999999999999</v>
      </c>
      <c r="DW191" s="132">
        <f>SUM(DW33)</f>
        <v>0</v>
      </c>
      <c r="DX191" s="133">
        <f>SUM(DX33)</f>
        <v>0</v>
      </c>
      <c r="DY191" s="130">
        <f t="shared" ref="DY191" si="2047">SUM(EB191,DZ191)</f>
        <v>0</v>
      </c>
      <c r="DZ191" s="131">
        <f>SUM(DZ33)</f>
        <v>0</v>
      </c>
      <c r="EA191" s="132">
        <f>SUM(EA33)</f>
        <v>0</v>
      </c>
      <c r="EB191" s="133">
        <f>SUM(EB33)</f>
        <v>0</v>
      </c>
      <c r="EC191" s="130">
        <f t="shared" ref="EC191" si="2048">SUM(EF191,ED191)</f>
        <v>183.36700000000002</v>
      </c>
      <c r="ED191" s="131">
        <f>SUM(ED33)</f>
        <v>17.228999999999999</v>
      </c>
      <c r="EE191" s="132">
        <f>SUM(EE33)</f>
        <v>0</v>
      </c>
      <c r="EF191" s="133">
        <f>SUM(EF33)</f>
        <v>166.13800000000003</v>
      </c>
      <c r="EG191" s="130">
        <f t="shared" ref="EG191" si="2049">SUM(EJ191,EH191)</f>
        <v>0</v>
      </c>
      <c r="EH191" s="131">
        <f>SUM(EH33)</f>
        <v>0</v>
      </c>
      <c r="EI191" s="132">
        <f>SUM(EI33)</f>
        <v>0</v>
      </c>
      <c r="EJ191" s="133">
        <f>SUM(EJ33)</f>
        <v>0</v>
      </c>
      <c r="EK191" s="210">
        <f t="shared" si="1402"/>
        <v>150.38900000000001</v>
      </c>
      <c r="EL191" s="210">
        <f t="shared" si="1403"/>
        <v>133.16000000000003</v>
      </c>
      <c r="EM191" s="130">
        <f t="shared" ref="EM191" si="2050">SUM(EP191,EN191)</f>
        <v>316.52700000000004</v>
      </c>
      <c r="EN191" s="131">
        <f>SUM(EN33)</f>
        <v>0.60499999999999998</v>
      </c>
      <c r="EO191" s="132">
        <f>SUM(EO33)</f>
        <v>0</v>
      </c>
      <c r="EP191" s="133">
        <f>SUM(EP33)</f>
        <v>315.92200000000003</v>
      </c>
      <c r="EQ191" s="130">
        <f t="shared" ref="EQ191" si="2051">SUM(ET191,ER191)</f>
        <v>0</v>
      </c>
      <c r="ER191" s="131">
        <f>SUM(ER33)</f>
        <v>0</v>
      </c>
      <c r="ES191" s="132">
        <f>SUM(ES33)</f>
        <v>0</v>
      </c>
      <c r="ET191" s="133">
        <f>SUM(ET33)</f>
        <v>0</v>
      </c>
    </row>
    <row r="192" spans="1:150" ht="18" customHeight="1" x14ac:dyDescent="0.25">
      <c r="A192" s="19"/>
      <c r="B192" s="16" t="s">
        <v>2</v>
      </c>
      <c r="C192" s="14"/>
      <c r="D192" s="100"/>
      <c r="E192" s="126"/>
      <c r="F192" s="127"/>
      <c r="G192" s="128"/>
      <c r="H192" s="129"/>
      <c r="I192" s="126"/>
      <c r="J192" s="127"/>
      <c r="K192" s="128"/>
      <c r="L192" s="129"/>
      <c r="M192" s="126"/>
      <c r="N192" s="127"/>
      <c r="O192" s="128"/>
      <c r="P192" s="129"/>
      <c r="Q192" s="126"/>
      <c r="R192" s="127"/>
      <c r="S192" s="128"/>
      <c r="T192" s="129"/>
      <c r="U192" s="126"/>
      <c r="V192" s="127"/>
      <c r="W192" s="128"/>
      <c r="X192" s="129"/>
      <c r="Y192" s="126"/>
      <c r="Z192" s="127"/>
      <c r="AA192" s="128"/>
      <c r="AB192" s="129"/>
      <c r="AC192" s="126"/>
      <c r="AD192" s="127"/>
      <c r="AE192" s="128"/>
      <c r="AF192" s="129"/>
      <c r="AG192" s="126"/>
      <c r="AH192" s="127"/>
      <c r="AI192" s="128"/>
      <c r="AJ192" s="129"/>
      <c r="AK192" s="126"/>
      <c r="AL192" s="127"/>
      <c r="AM192" s="128"/>
      <c r="AN192" s="129"/>
      <c r="AO192" s="126"/>
      <c r="AP192" s="127"/>
      <c r="AQ192" s="128"/>
      <c r="AR192" s="129"/>
      <c r="AS192" s="126"/>
      <c r="AT192" s="127"/>
      <c r="AU192" s="128"/>
      <c r="AV192" s="129"/>
      <c r="AW192" s="126"/>
      <c r="AX192" s="127"/>
      <c r="AY192" s="128"/>
      <c r="AZ192" s="129"/>
      <c r="BA192" s="126"/>
      <c r="BB192" s="127"/>
      <c r="BC192" s="128"/>
      <c r="BD192" s="129"/>
      <c r="BE192" s="126"/>
      <c r="BF192" s="127"/>
      <c r="BG192" s="128"/>
      <c r="BH192" s="129"/>
      <c r="BI192" s="126"/>
      <c r="BJ192" s="127"/>
      <c r="BK192" s="128"/>
      <c r="BL192" s="129"/>
      <c r="BM192" s="126"/>
      <c r="BN192" s="127"/>
      <c r="BO192" s="128"/>
      <c r="BP192" s="129"/>
      <c r="BQ192" s="126"/>
      <c r="BR192" s="127"/>
      <c r="BS192" s="128"/>
      <c r="BT192" s="129"/>
      <c r="BU192" s="126"/>
      <c r="BV192" s="127"/>
      <c r="BW192" s="128"/>
      <c r="BX192" s="129"/>
      <c r="BY192" s="126"/>
      <c r="BZ192" s="127"/>
      <c r="CA192" s="128"/>
      <c r="CB192" s="129"/>
      <c r="CC192" s="126"/>
      <c r="CD192" s="127"/>
      <c r="CE192" s="128"/>
      <c r="CF192" s="129"/>
      <c r="CG192" s="126"/>
      <c r="CH192" s="127"/>
      <c r="CI192" s="128"/>
      <c r="CJ192" s="129"/>
      <c r="CK192" s="126"/>
      <c r="CL192" s="127"/>
      <c r="CM192" s="128"/>
      <c r="CN192" s="129"/>
      <c r="CO192" s="126"/>
      <c r="CP192" s="127"/>
      <c r="CQ192" s="128"/>
      <c r="CR192" s="129"/>
      <c r="CS192" s="126"/>
      <c r="CT192" s="127"/>
      <c r="CU192" s="128"/>
      <c r="CV192" s="129"/>
      <c r="CW192" s="126"/>
      <c r="CX192" s="127"/>
      <c r="CY192" s="128"/>
      <c r="CZ192" s="129"/>
      <c r="DA192" s="126"/>
      <c r="DB192" s="127"/>
      <c r="DC192" s="128"/>
      <c r="DD192" s="129"/>
      <c r="DE192" s="126"/>
      <c r="DF192" s="127"/>
      <c r="DG192" s="128"/>
      <c r="DH192" s="129"/>
      <c r="DI192" s="126"/>
      <c r="DJ192" s="127"/>
      <c r="DK192" s="128"/>
      <c r="DL192" s="129"/>
      <c r="DM192" s="126"/>
      <c r="DN192" s="127"/>
      <c r="DO192" s="128"/>
      <c r="DP192" s="129"/>
      <c r="DQ192" s="126"/>
      <c r="DR192" s="127"/>
      <c r="DS192" s="128"/>
      <c r="DT192" s="129"/>
      <c r="DU192" s="126"/>
      <c r="DV192" s="127"/>
      <c r="DW192" s="128"/>
      <c r="DX192" s="129"/>
      <c r="DY192" s="126"/>
      <c r="DZ192" s="127"/>
      <c r="EA192" s="128"/>
      <c r="EB192" s="129"/>
      <c r="EC192" s="126"/>
      <c r="ED192" s="127"/>
      <c r="EE192" s="128"/>
      <c r="EF192" s="129"/>
      <c r="EG192" s="126"/>
      <c r="EH192" s="127"/>
      <c r="EI192" s="128"/>
      <c r="EJ192" s="129"/>
      <c r="EK192" s="209">
        <f t="shared" si="1402"/>
        <v>0</v>
      </c>
      <c r="EL192" s="209">
        <f t="shared" si="1403"/>
        <v>0</v>
      </c>
      <c r="EM192" s="126"/>
      <c r="EN192" s="127"/>
      <c r="EO192" s="128"/>
      <c r="EP192" s="129"/>
      <c r="EQ192" s="126"/>
      <c r="ER192" s="127"/>
      <c r="ES192" s="128"/>
      <c r="ET192" s="129"/>
    </row>
    <row r="193" spans="1:150" ht="24.75" customHeight="1" x14ac:dyDescent="0.3">
      <c r="A193" s="37"/>
      <c r="B193" s="67" t="s">
        <v>35</v>
      </c>
      <c r="C193" s="706">
        <v>1</v>
      </c>
      <c r="D193" s="707"/>
      <c r="E193" s="105">
        <f>SUM(H193,F193)</f>
        <v>2560.1409999999996</v>
      </c>
      <c r="F193" s="106">
        <f>SUM(F179,F59,F13,F19:F20,F128,F122)</f>
        <v>2447.3409999999994</v>
      </c>
      <c r="G193" s="107">
        <f>SUM(G179,G59,G13,G19:G20,G128,G122)</f>
        <v>1633.8700000000001</v>
      </c>
      <c r="H193" s="108">
        <f>SUM(H179,H59,H13,H19:H20,H128,H122)-H186</f>
        <v>112.79999999999995</v>
      </c>
      <c r="I193" s="105">
        <f>SUM(L193,J193)</f>
        <v>41.471000000000004</v>
      </c>
      <c r="J193" s="106">
        <f>SUM(J179,J59,J13,J19:J20,J128,J122)</f>
        <v>41.471000000000004</v>
      </c>
      <c r="K193" s="107">
        <f>SUM(K179,K59,K13,K19:K20,K128,K122)</f>
        <v>0</v>
      </c>
      <c r="L193" s="108">
        <f>SUM(L179,L59,L13,L19:L20,L128,L122)-L186</f>
        <v>0</v>
      </c>
      <c r="M193" s="105">
        <f>SUM(P193,N193)</f>
        <v>0</v>
      </c>
      <c r="N193" s="106">
        <f>SUM(N179,N59,N13,N19:N20,N128,N122)</f>
        <v>0</v>
      </c>
      <c r="O193" s="107">
        <f>SUM(O179,O59,O13,O19:O20,O128,O122)</f>
        <v>0</v>
      </c>
      <c r="P193" s="108"/>
      <c r="Q193" s="105">
        <f>SUM(T193,R193)</f>
        <v>0</v>
      </c>
      <c r="R193" s="106">
        <f>SUM(R179,R59,R13,R19:R20,R128,R122)</f>
        <v>0</v>
      </c>
      <c r="S193" s="107">
        <f>SUM(S179,S59,S13,S19:S20,S128,S122)</f>
        <v>0</v>
      </c>
      <c r="T193" s="108">
        <f>SUM(T179,T59,T13,T19:T20,T128,T122)-T186</f>
        <v>0</v>
      </c>
      <c r="U193" s="105">
        <f>SUM(X193,V193)</f>
        <v>2560.1409999999996</v>
      </c>
      <c r="V193" s="106">
        <f>SUM(V179,V59,V13,V19:V20,V128,V122)</f>
        <v>2447.3409999999994</v>
      </c>
      <c r="W193" s="107">
        <f>SUM(W179,W59,W13,W19:W20,W128,W122)</f>
        <v>1633.8700000000001</v>
      </c>
      <c r="X193" s="108">
        <f>SUM(X179,X59,X13,X19:X20,X128,X122)-X186</f>
        <v>112.79999999999995</v>
      </c>
      <c r="Y193" s="105">
        <f>SUM(AB193,Z193)</f>
        <v>41.471000000000004</v>
      </c>
      <c r="Z193" s="106">
        <f>SUM(Z179,Z59,Z13,Z19:Z20,Z128,Z122)</f>
        <v>41.471000000000004</v>
      </c>
      <c r="AA193" s="107">
        <f>SUM(AA179,AA59,AA13,AA19:AA20,AA128,AA122)</f>
        <v>0</v>
      </c>
      <c r="AB193" s="108">
        <f>SUM(AB179,AB59,AB13,AB19:AB20,AB128,AB122)-AB186</f>
        <v>0</v>
      </c>
      <c r="AC193" s="105">
        <f>SUM(AF193,AD193)</f>
        <v>0</v>
      </c>
      <c r="AD193" s="106">
        <f>SUM(AD179,AD59,AD13,AD19:AD20,AD128,AD122)</f>
        <v>15</v>
      </c>
      <c r="AE193" s="107">
        <f>SUM(AE179,AE59,AE13,AE19:AE20,AE128,AE122)</f>
        <v>0</v>
      </c>
      <c r="AF193" s="108">
        <f>SUM(AF179,AF59,AF13,AF19:AF20,AF128,AF122)</f>
        <v>-15</v>
      </c>
      <c r="AG193" s="105">
        <f>SUM(AJ193,AH193)</f>
        <v>0</v>
      </c>
      <c r="AH193" s="106">
        <f>SUM(AH179,AH59,AH13,AH19:AH20,AH128,AH122)</f>
        <v>0</v>
      </c>
      <c r="AI193" s="107">
        <f>SUM(AI179,AI59,AI13,AI19:AI20,AI128,AI122)</f>
        <v>0</v>
      </c>
      <c r="AJ193" s="108">
        <f>SUM(AJ179,AJ59,AJ13,AJ19:AJ20,AJ128,AJ122)-AJ186</f>
        <v>0</v>
      </c>
      <c r="AK193" s="105">
        <f>SUM(AN193,AL193)</f>
        <v>2560.1409999999996</v>
      </c>
      <c r="AL193" s="106">
        <f>SUM(AL179,AL59,AL13,AL19:AL20,AL128,AL122)</f>
        <v>2462.3409999999994</v>
      </c>
      <c r="AM193" s="107">
        <f>SUM(AM179,AM59,AM13,AM19:AM20,AM128,AM122)</f>
        <v>1633.8700000000001</v>
      </c>
      <c r="AN193" s="108">
        <f>SUM(AN179,AN59,AN13,AN19:AN20,AN128,AN122)-AN186</f>
        <v>97.799999999999955</v>
      </c>
      <c r="AO193" s="105">
        <f>SUM(AR193,AP193)</f>
        <v>41.471000000000004</v>
      </c>
      <c r="AP193" s="106">
        <f>SUM(AP179,AP59,AP13,AP19:AP20,AP128,AP122)</f>
        <v>41.471000000000004</v>
      </c>
      <c r="AQ193" s="107">
        <f>SUM(AQ179,AQ59,AQ13,AQ19:AQ20,AQ128,AQ122)</f>
        <v>0</v>
      </c>
      <c r="AR193" s="108">
        <f>SUM(AR179,AR59,AR13,AR19:AR20,AR128,AR122)-AR186</f>
        <v>0</v>
      </c>
      <c r="AS193" s="105">
        <f>SUM(AV193,AT193)</f>
        <v>0</v>
      </c>
      <c r="AT193" s="106">
        <f>SUM(AT179,AT59,AT13,AT19:AT20,AT128,AT122)</f>
        <v>3.0329999999999999</v>
      </c>
      <c r="AU193" s="107">
        <f>SUM(AU179,AU59,AU13,AU19:AU20,AU128,AU122)</f>
        <v>-1.865</v>
      </c>
      <c r="AV193" s="108">
        <f>SUM(AV179,AV59,AV13,AV19:AV20,AV128,AV122)</f>
        <v>-3.0329999999999999</v>
      </c>
      <c r="AW193" s="105">
        <f>SUM(AZ193,AX193)</f>
        <v>0</v>
      </c>
      <c r="AX193" s="106">
        <f>SUM(AX179,AX59,AX13,AX19:AX20,AX128,AX122)</f>
        <v>0</v>
      </c>
      <c r="AY193" s="107">
        <f>SUM(AY179,AY59,AY13,AY19:AY20,AY128,AY122)</f>
        <v>0</v>
      </c>
      <c r="AZ193" s="108">
        <f>SUM(AZ179,AZ59,AZ13,AZ19:AZ20,AZ128,AZ122)-AZ186</f>
        <v>0</v>
      </c>
      <c r="BA193" s="105">
        <f>SUM(BD193,BB193)</f>
        <v>2560.1409999999992</v>
      </c>
      <c r="BB193" s="106">
        <f>SUM(BB179,BB59,BB13,BB19:BB20,BB128,BB122)</f>
        <v>2465.3739999999993</v>
      </c>
      <c r="BC193" s="107">
        <f>SUM(BC179,BC59,BC13,BC19:BC20,BC128,BC122)</f>
        <v>1632.0050000000001</v>
      </c>
      <c r="BD193" s="108">
        <f>SUM(BD179,BD59,BD13,BD19:BD20,BD128,BD122)-BD186</f>
        <v>94.766999999999939</v>
      </c>
      <c r="BE193" s="105">
        <f>SUM(BH193,BF193)</f>
        <v>41.471000000000004</v>
      </c>
      <c r="BF193" s="106">
        <f>SUM(BF179,BF59,BF13,BF19:BF20,BF128,BF122)</f>
        <v>41.471000000000004</v>
      </c>
      <c r="BG193" s="107">
        <f>SUM(BG179,BG59,BG13,BG19:BG20,BG128,BG122)</f>
        <v>0</v>
      </c>
      <c r="BH193" s="108">
        <f>SUM(BH179,BH59,BH13,BH19:BH20,BH128,BH122)-BH186</f>
        <v>0</v>
      </c>
      <c r="BI193" s="105">
        <f>SUM(BL193,BJ193)</f>
        <v>13.6</v>
      </c>
      <c r="BJ193" s="106">
        <f>SUM(BJ179,BJ59,BJ13,BJ19:BJ20,BJ128,BJ122)</f>
        <v>11.945</v>
      </c>
      <c r="BK193" s="107">
        <f>SUM(BK179,BK59,BK13,BK19:BK20,BK128,BK122)</f>
        <v>10</v>
      </c>
      <c r="BL193" s="108">
        <f>SUM(BL179,BL59,BL13,BL19:BL20,BL128,BL122)</f>
        <v>1.655</v>
      </c>
      <c r="BM193" s="105">
        <f>SUM(BP193,BN193)</f>
        <v>13.6</v>
      </c>
      <c r="BN193" s="106">
        <f>SUM(BN179,BN59,BN13,BN19:BN20,BN128,BN122)</f>
        <v>11.945</v>
      </c>
      <c r="BO193" s="107">
        <f>SUM(BO179,BO59,BO13,BO19:BO20,BO128,BO122)</f>
        <v>10</v>
      </c>
      <c r="BP193" s="108">
        <f>SUM(BP179,BP59,BP13,BP19:BP20,BP128,BP122)-BP186</f>
        <v>1.655</v>
      </c>
      <c r="BQ193" s="105">
        <f>SUM(BT193,BR193)</f>
        <v>2573.7409999999995</v>
      </c>
      <c r="BR193" s="106">
        <f>SUM(BR179,BR59,BR13,BR19:BR20,BR128,BR122)</f>
        <v>2477.3189999999995</v>
      </c>
      <c r="BS193" s="107">
        <f>SUM(BS179,BS59,BS13,BS19:BS20,BS128,BS122)</f>
        <v>1642.0050000000001</v>
      </c>
      <c r="BT193" s="108">
        <f>SUM(BT179,BT59,BT13,BT19:BT20,BT128,BT122)-BT186</f>
        <v>96.421999999999912</v>
      </c>
      <c r="BU193" s="105">
        <f>SUM(BX193,BV193)</f>
        <v>55.070999999999998</v>
      </c>
      <c r="BV193" s="106">
        <f>SUM(BV179,BV59,BV13,BV19:BV20,BV128,BV122)</f>
        <v>53.415999999999997</v>
      </c>
      <c r="BW193" s="107">
        <f>SUM(BW179,BW59,BW13,BW19:BW20,BW128,BW122)</f>
        <v>10</v>
      </c>
      <c r="BX193" s="108">
        <f>SUM(BX179,BX59,BX13,BX19:BX20,BX128,BX122)-BX186</f>
        <v>1.655</v>
      </c>
      <c r="BY193" s="105">
        <f>SUM(CB193,BZ193)</f>
        <v>0</v>
      </c>
      <c r="BZ193" s="106">
        <f>SUM(BZ179,BZ59,BZ13,BZ19:BZ20,BZ128,BZ122)</f>
        <v>0</v>
      </c>
      <c r="CA193" s="107">
        <f>SUM(CA179,CA59,CA13,CA19:CA20,CA128,CA122)</f>
        <v>-3.6850000000000001</v>
      </c>
      <c r="CB193" s="108">
        <f>SUM(CB179,CB59,CB13,CB19:CB20,CB128,CB122)</f>
        <v>0</v>
      </c>
      <c r="CC193" s="105">
        <f>SUM(CF193,CD193)</f>
        <v>0</v>
      </c>
      <c r="CD193" s="106">
        <f>SUM(CD179,CD59,CD13,CD19:CD20,CD128,CD122)</f>
        <v>0</v>
      </c>
      <c r="CE193" s="107">
        <f>SUM(CE179,CE59,CE13,CE19:CE20,CE128,CE122)</f>
        <v>0</v>
      </c>
      <c r="CF193" s="108">
        <f>SUM(CF179,CF59,CF13,CF19:CF20,CF128,CF122)-CF186</f>
        <v>0</v>
      </c>
      <c r="CG193" s="105">
        <f>SUM(CJ193,CH193)</f>
        <v>2573.7409999999995</v>
      </c>
      <c r="CH193" s="106">
        <f>SUM(CH179,CH59,CH13,CH19:CH20,CH128,CH122)</f>
        <v>2477.3189999999995</v>
      </c>
      <c r="CI193" s="107">
        <f>SUM(CI179,CI59,CI13,CI19:CI20,CI128,CI122)</f>
        <v>1638.3200000000002</v>
      </c>
      <c r="CJ193" s="108">
        <f>SUM(CJ179,CJ59,CJ13,CJ19:CJ20,CJ128,CJ122)-CJ186</f>
        <v>96.421999999999912</v>
      </c>
      <c r="CK193" s="105">
        <f>SUM(CN193,CL193)</f>
        <v>55.070999999999998</v>
      </c>
      <c r="CL193" s="106">
        <f>SUM(CL179,CL59,CL13,CL19:CL20,CL128,CL122)</f>
        <v>53.415999999999997</v>
      </c>
      <c r="CM193" s="107">
        <f>SUM(CM179,CM59,CM13,CM19:CM20,CM128,CM122)</f>
        <v>10</v>
      </c>
      <c r="CN193" s="108">
        <f>SUM(CN179,CN59,CN13,CN19:CN20,CN128,CN122)-CN186</f>
        <v>1.655</v>
      </c>
      <c r="CO193" s="105">
        <f>SUM(CR193,CP193)</f>
        <v>0</v>
      </c>
      <c r="CP193" s="106">
        <f>SUM(CP179,CP59,CP13,CP19:CP20,CP128,CP122)</f>
        <v>2</v>
      </c>
      <c r="CQ193" s="107">
        <f>SUM(CQ179,CQ59,CQ13,CQ19:CQ20,CQ128,CQ122)</f>
        <v>0</v>
      </c>
      <c r="CR193" s="108">
        <f>SUM(CR179,CR59,CR13,CR19:CR20,CR128,CR122)</f>
        <v>-2</v>
      </c>
      <c r="CS193" s="105">
        <f>SUM(CV193,CT193)</f>
        <v>0</v>
      </c>
      <c r="CT193" s="106">
        <f>SUM(CT179,CT59,CT13,CT19:CT20,CT128,CT122)</f>
        <v>0</v>
      </c>
      <c r="CU193" s="107">
        <f>SUM(CU179,CU59,CU13,CU19:CU20,CU128,CU122)</f>
        <v>0</v>
      </c>
      <c r="CV193" s="108">
        <f>SUM(CV179,CV59,CV13,CV19:CV20,CV128,CV122)-CV186</f>
        <v>0</v>
      </c>
      <c r="CW193" s="105">
        <f>SUM(CZ193,CX193)</f>
        <v>2573.7409999999995</v>
      </c>
      <c r="CX193" s="106">
        <f>SUM(CX179,CX59,CX13,CX19:CX20,CX128,CX122)</f>
        <v>2479.3189999999995</v>
      </c>
      <c r="CY193" s="107">
        <f>SUM(CY179,CY59,CY13,CY19:CY20,CY128,CY122)</f>
        <v>1638.3200000000002</v>
      </c>
      <c r="CZ193" s="108">
        <f>SUM(CZ179,CZ59,CZ13,CZ19:CZ20,CZ128,CZ122)-CZ186</f>
        <v>94.421999999999912</v>
      </c>
      <c r="DA193" s="105">
        <f>SUM(DD193,DB193)</f>
        <v>55.070999999999998</v>
      </c>
      <c r="DB193" s="106">
        <f>SUM(DB179,DB59,DB13,DB19:DB20,DB128,DB122)</f>
        <v>53.415999999999997</v>
      </c>
      <c r="DC193" s="107">
        <f>SUM(DC179,DC59,DC13,DC19:DC20,DC128,DC122)</f>
        <v>10</v>
      </c>
      <c r="DD193" s="108">
        <f>SUM(DD179,DD59,DD13,DD19:DD20,DD128,DD122)-DD186</f>
        <v>1.655</v>
      </c>
      <c r="DE193" s="105">
        <f>SUM(DH193,DF193)</f>
        <v>-0.70000000000000007</v>
      </c>
      <c r="DF193" s="106">
        <f>SUM(DF179,DF59,DF13,DF19:DF20,DF128,DF122)</f>
        <v>-1.1000000000000001</v>
      </c>
      <c r="DG193" s="107">
        <f>SUM(DG179,DG59,DG13,DG19:DG20,DG128,DG122)</f>
        <v>-8</v>
      </c>
      <c r="DH193" s="108">
        <f>SUM(DH179,DH59,DH13,DH19:DH20,DH128,DH122)</f>
        <v>0.4</v>
      </c>
      <c r="DI193" s="105">
        <f>SUM(DL193,DJ193)</f>
        <v>0</v>
      </c>
      <c r="DJ193" s="106">
        <f>SUM(DJ179,DJ59,DJ13,DJ19:DJ20,DJ128,DJ122)</f>
        <v>0</v>
      </c>
      <c r="DK193" s="107">
        <f>SUM(DK179,DK59,DK13,DK19:DK20,DK128,DK122)</f>
        <v>0</v>
      </c>
      <c r="DL193" s="108">
        <f>SUM(DL179,DL59,DL13,DL19:DL20,DL128,DL122)-DL186</f>
        <v>0</v>
      </c>
      <c r="DM193" s="105">
        <f>SUM(DP193,DN193)</f>
        <v>2573.0409999999993</v>
      </c>
      <c r="DN193" s="106">
        <f>SUM(DN179,DN59,DN13,DN19:DN20,DN128,DN122)</f>
        <v>2478.2189999999996</v>
      </c>
      <c r="DO193" s="107">
        <f>SUM(DO179,DO59,DO13,DO19:DO20,DO128,DO122)</f>
        <v>1630.3200000000002</v>
      </c>
      <c r="DP193" s="108">
        <f>SUM(DP179,DP59,DP13,DP19:DP20,DP128,DP122)-DP186</f>
        <v>94.821999999999889</v>
      </c>
      <c r="DQ193" s="105">
        <f>SUM(DT193,DR193)</f>
        <v>55.070999999999998</v>
      </c>
      <c r="DR193" s="106">
        <f>SUM(DR179,DR59,DR13,DR19:DR20,DR128,DR122)</f>
        <v>53.415999999999997</v>
      </c>
      <c r="DS193" s="107">
        <f>SUM(DS179,DS59,DS13,DS19:DS20,DS128,DS122)</f>
        <v>10</v>
      </c>
      <c r="DT193" s="108">
        <f>SUM(DT179,DT59,DT13,DT19:DT20,DT128,DT122)-DT186</f>
        <v>1.655</v>
      </c>
      <c r="DU193" s="105">
        <f>SUM(DX193,DV193)</f>
        <v>-3.7439999999999998</v>
      </c>
      <c r="DV193" s="106">
        <f>SUM(DV179,DV59,DV13,DV19:DV20,DV128,DV122)</f>
        <v>-3.7439999999999998</v>
      </c>
      <c r="DW193" s="107">
        <f>SUM(DW179,DW59,DW13,DW19:DW20,DW128,DW122)</f>
        <v>-10.372</v>
      </c>
      <c r="DX193" s="108">
        <f>SUM(DX179,DX59,DX13,DX19:DX20,DX128,DX122)</f>
        <v>0</v>
      </c>
      <c r="DY193" s="105">
        <f>SUM(EB193,DZ193)</f>
        <v>0</v>
      </c>
      <c r="DZ193" s="106">
        <f>SUM(DZ179,DZ59,DZ13,DZ19:DZ20,DZ128,DZ122)</f>
        <v>0</v>
      </c>
      <c r="EA193" s="107">
        <f>SUM(EA179,EA59,EA13,EA19:EA20,EA128,EA122)</f>
        <v>0</v>
      </c>
      <c r="EB193" s="108">
        <f>SUM(EB179,EB59,EB13,EB19:EB20,EB128,EB122)-EB186</f>
        <v>0</v>
      </c>
      <c r="EC193" s="105">
        <f>SUM(EF193,ED193)</f>
        <v>2569.2969999999996</v>
      </c>
      <c r="ED193" s="106">
        <f>SUM(ED179,ED59,ED13,ED19:ED20,ED128,ED122)</f>
        <v>2474.4749999999995</v>
      </c>
      <c r="EE193" s="107">
        <f>SUM(EE179,EE59,EE13,EE19:EE20,EE128,EE122)</f>
        <v>1619.9480000000001</v>
      </c>
      <c r="EF193" s="108">
        <f>SUM(EF179,EF59,EF13,EF19:EF20,EF128,EF122)-EF186</f>
        <v>94.821999999999889</v>
      </c>
      <c r="EG193" s="105">
        <f>SUM(EJ193,EH193)</f>
        <v>55.070999999999998</v>
      </c>
      <c r="EH193" s="106">
        <f>SUM(EH179,EH59,EH13,EH19:EH20,EH128,EH122)</f>
        <v>53.415999999999997</v>
      </c>
      <c r="EI193" s="107">
        <f>SUM(EI179,EI59,EI13,EI19:EI20,EI128,EI122)</f>
        <v>10</v>
      </c>
      <c r="EJ193" s="108">
        <f>SUM(EJ179,EJ59,EJ13,EJ19:EJ20,EJ128,EJ122)-EJ186</f>
        <v>1.655</v>
      </c>
      <c r="EK193" s="163">
        <f t="shared" si="1402"/>
        <v>417.74300000000039</v>
      </c>
      <c r="EL193" s="163">
        <f t="shared" si="1403"/>
        <v>408.58700000000044</v>
      </c>
      <c r="EM193" s="105">
        <f>SUM(EP193,EN193)</f>
        <v>2977.884</v>
      </c>
      <c r="EN193" s="106">
        <f>SUM(EN179,EN59,EN13,EN19:EN20,EN128,EN122)</f>
        <v>2718.5340000000001</v>
      </c>
      <c r="EO193" s="107">
        <f>SUM(EO179,EO59,EO13,EO19:EO20,EO128,EO122)</f>
        <v>1813.9969999999998</v>
      </c>
      <c r="EP193" s="108">
        <f>SUM(EP179,EP59,EP13,EP19:EP20,EP128,EP122)-EP186</f>
        <v>259.34999999999997</v>
      </c>
      <c r="EQ193" s="105">
        <f>SUM(ET193,ER193)</f>
        <v>109.761</v>
      </c>
      <c r="ER193" s="106">
        <f>SUM(ER179,ER59,ER13,ER19:ER20,ER128,ER122)</f>
        <v>109.761</v>
      </c>
      <c r="ES193" s="107">
        <f>SUM(ES179,ES59,ES13,ES19:ES20,ES128,ES122)</f>
        <v>27.126999999999999</v>
      </c>
      <c r="ET193" s="108">
        <f>SUM(ET179,ET59,ET13,ET19:ET20,ET128,ET122)-ET186</f>
        <v>0</v>
      </c>
    </row>
    <row r="194" spans="1:150" ht="24.75" customHeight="1" x14ac:dyDescent="0.25">
      <c r="A194" s="18"/>
      <c r="B194" s="68" t="s">
        <v>42</v>
      </c>
      <c r="C194" s="706">
        <v>2</v>
      </c>
      <c r="D194" s="707"/>
      <c r="E194" s="105">
        <f>SUM(H194,F194)</f>
        <v>5424.0029999999997</v>
      </c>
      <c r="F194" s="106">
        <f>SUM(F129,F123:F124,F112:F113,F106:F107,F99:F100,F92:F93,F86:F87,F79:F80,F72:F73,F66:F67,F60:F61,F53:F54,F46:F47,F40:F41,F21,F172,F164,F142)</f>
        <v>5380.5429999999997</v>
      </c>
      <c r="G194" s="107">
        <f>SUM(G129,G123:G124,G112:G113,G106:G107,G99:G100,G92:G93,G86:G87,G79:G80,G72:G73,G66:G67,G60:G61,G53:G54,G46:G47,G40:G41,G21,G172,G164,G142)</f>
        <v>3950.9770000000003</v>
      </c>
      <c r="H194" s="108">
        <f>SUM(H129,H123:H124,H112:H113,H106:H107,H99:H100,H92:H93,H86:H87,H79:H80,H72:H73,H66:H67,H60:H61,H53:H54,H46:H47,H40:H41,H21)</f>
        <v>43.460000000000008</v>
      </c>
      <c r="I194" s="105">
        <f>SUM(L194,J194)</f>
        <v>16.533000000000001</v>
      </c>
      <c r="J194" s="106">
        <f>SUM(J129,J123:J124,J112:J113,J106:J107,J99:J100,J92:J93,J86:J87,J79:J80,J72:J73,J66:J67,J60:J61,J53:J54,J46:J47,J40:J41,J21,J172,J164,J142)</f>
        <v>13.033000000000001</v>
      </c>
      <c r="K194" s="107">
        <f>SUM(K129,K123:K124,K112:K113,K106:K107,K99:K100,K92:K93,K86:K87,K79:K80,K72:K73,K66:K67,K60:K61,K53:K54,K46:K47,K40:K41,K21,K172,K164,K142)</f>
        <v>0</v>
      </c>
      <c r="L194" s="108">
        <f>SUM(L129,L123:L124,L112:L113,L106:L107,L99:L100,L92:L93,L86:L87,L79:L80,L72:L73,L66:L67,L60:L61,L53:L54,L46:L47,L40:L41,L21)</f>
        <v>3.5</v>
      </c>
      <c r="M194" s="105">
        <f>SUM(P194,N194)</f>
        <v>0.9</v>
      </c>
      <c r="N194" s="106">
        <f>SUM(N129,N123:N124,N112:N113,N106:N107,N99:N100,N92:N93,N86:N87,N79:N80,N72:N73,N66:N67,N60:N61,N53:N54,N46:N47,N40:N41,N21,N172,N164,N142)</f>
        <v>0.9</v>
      </c>
      <c r="O194" s="107">
        <f>SUM(O129,O123:O124,O112:O113,O106:O107,O99:O100,O92:O93,O86:O87,O79:O80,O72:O73,O66:O67,O60:O61,O53:O54,O46:O47,O40:O41,O21,O172,O164,O142)</f>
        <v>0.28399999999999997</v>
      </c>
      <c r="P194" s="108">
        <f>SUM(P129,P123:P124,P112:P113,P106:P107,P99:P100,P92:P93,P86:P87,P79:P80,P72:P73,P66:P67,P60:P61,P53:P54,P46:P47,P40:P41,P21)</f>
        <v>0</v>
      </c>
      <c r="Q194" s="105">
        <f>SUM(T194,R194)</f>
        <v>0</v>
      </c>
      <c r="R194" s="106">
        <f>SUM(R129,R123:R124,R112:R113,R106:R107,R99:R100,R92:R93,R86:R87,R79:R80,R72:R73,R66:R67,R60:R61,R53:R54,R46:R47,R40:R41,R21,R172,R164,R142)</f>
        <v>0</v>
      </c>
      <c r="S194" s="107">
        <f>SUM(S129,S123:S124,S112:S113,S106:S107,S99:S100,S92:S93,S86:S87,S79:S80,S72:S73,S66:S67,S60:S61,S53:S54,S46:S47,S40:S41,S21,S172,S164,S142)</f>
        <v>0</v>
      </c>
      <c r="T194" s="108">
        <f>SUM(T129,T123:T124,T112:T113,T106:T107,T99:T100,T92:T93,T86:T87,T79:T80,T72:T73,T66:T67,T60:T61,T53:T54,T46:T47,T40:T41,T21)</f>
        <v>0</v>
      </c>
      <c r="U194" s="105">
        <f>SUM(X194,V194)</f>
        <v>5424.9030000000002</v>
      </c>
      <c r="V194" s="106">
        <f>SUM(V129,V123:V124,V112:V113,V106:V107,V99:V100,V92:V93,V86:V87,V79:V80,V72:V73,V66:V67,V60:V61,V53:V54,V46:V47,V40:V41,V21,V172,V164,V142)</f>
        <v>5381.4430000000002</v>
      </c>
      <c r="W194" s="107">
        <f>SUM(W129,W123:W124,W112:W113,W106:W107,W99:W100,W92:W93,W86:W87,W79:W80,W72:W73,W66:W67,W60:W61,W53:W54,W46:W47,W40:W41,W21,W172,W164,W142)</f>
        <v>3951.261</v>
      </c>
      <c r="X194" s="108">
        <f>SUM(X129,X123:X124,X112:X113,X106:X107,X99:X100,X92:X93,X86:X87,X79:X80,X72:X73,X66:X67,X60:X61,X53:X54,X46:X47,X40:X41,X21)</f>
        <v>43.460000000000008</v>
      </c>
      <c r="Y194" s="105">
        <f>SUM(AB194,Z194)</f>
        <v>16.533000000000001</v>
      </c>
      <c r="Z194" s="106">
        <f>SUM(Z129,Z123:Z124,Z112:Z113,Z106:Z107,Z99:Z100,Z92:Z93,Z86:Z87,Z79:Z80,Z72:Z73,Z66:Z67,Z60:Z61,Z53:Z54,Z46:Z47,Z40:Z41,Z21,Z172,Z164,Z142)</f>
        <v>13.033000000000001</v>
      </c>
      <c r="AA194" s="107">
        <f>SUM(AA129,AA123:AA124,AA112:AA113,AA106:AA107,AA99:AA100,AA92:AA93,AA86:AA87,AA79:AA80,AA72:AA73,AA66:AA67,AA60:AA61,AA53:AA54,AA46:AA47,AA40:AA41,AA21,AA172,AA164,AA142)</f>
        <v>0</v>
      </c>
      <c r="AB194" s="108">
        <f>SUM(AB129,AB123:AB124,AB112:AB113,AB106:AB107,AB99:AB100,AB92:AB93,AB86:AB87,AB79:AB80,AB72:AB73,AB66:AB67,AB60:AB61,AB53:AB54,AB46:AB47,AB40:AB41,AB21)</f>
        <v>3.5</v>
      </c>
      <c r="AC194" s="105">
        <f>SUM(AF194,AD194)</f>
        <v>-0.43999999999999995</v>
      </c>
      <c r="AD194" s="106">
        <f>SUM(AD129,AD123:AD124,AD112:AD113,AD106:AD107,AD99:AD100,AD92:AD93,AD86:AD87,AD79:AD80,AD72:AD73,AD66:AD67,AD60:AD61,AD53:AD54,AD46:AD47,AD40:AD41,AD21,AD172,AD164,AD142)</f>
        <v>-0.43999999999999995</v>
      </c>
      <c r="AE194" s="107">
        <f>SUM(AE129,AE123:AE124,AE112:AE113,AE106:AE107,AE99:AE100,AE92:AE93,AE86:AE87,AE79:AE80,AE72:AE73,AE66:AE67,AE60:AE61,AE53:AE54,AE46:AE47,AE40:AE41,AE21,AE172,AE164,AE142)</f>
        <v>-4.3550000000000004</v>
      </c>
      <c r="AF194" s="108">
        <f>SUM(AF129,AF123:AF124,AF112:AF113,AF106:AF107,AF99:AF100,AF92:AF93,AF86:AF87,AF79:AF80,AF72:AF73,AF66:AF67,AF60:AF61,AF53:AF54,AF46:AF47,AF40:AF41,AF21)</f>
        <v>0</v>
      </c>
      <c r="AG194" s="105">
        <f>SUM(AJ194,AH194)</f>
        <v>0</v>
      </c>
      <c r="AH194" s="106">
        <f>SUM(AH129,AH123:AH124,AH112:AH113,AH106:AH107,AH99:AH100,AH92:AH93,AH86:AH87,AH79:AH80,AH72:AH73,AH66:AH67,AH60:AH61,AH53:AH54,AH46:AH47,AH40:AH41,AH21,AH172,AH164,AH142)</f>
        <v>0</v>
      </c>
      <c r="AI194" s="107">
        <f>SUM(AI129,AI123:AI124,AI112:AI113,AI106:AI107,AI99:AI100,AI92:AI93,AI86:AI87,AI79:AI80,AI72:AI73,AI66:AI67,AI60:AI61,AI53:AI54,AI46:AI47,AI40:AI41,AI21,AI172,AI164,AI142)</f>
        <v>0</v>
      </c>
      <c r="AJ194" s="108">
        <f>SUM(AJ129,AJ123:AJ124,AJ112:AJ113,AJ106:AJ107,AJ99:AJ100,AJ92:AJ93,AJ86:AJ87,AJ79:AJ80,AJ72:AJ73,AJ66:AJ67,AJ60:AJ61,AJ53:AJ54,AJ46:AJ47,AJ40:AJ41,AJ21)</f>
        <v>0</v>
      </c>
      <c r="AK194" s="105">
        <f>SUM(AN194,AL194)</f>
        <v>5424.4629999999997</v>
      </c>
      <c r="AL194" s="106">
        <f>SUM(AL129,AL123:AL124,AL112:AL113,AL106:AL107,AL99:AL100,AL92:AL93,AL86:AL87,AL79:AL80,AL72:AL73,AL66:AL67,AL60:AL61,AL53:AL54,AL46:AL47,AL40:AL41,AL21,AL172,AL164,AL142)</f>
        <v>5381.0029999999997</v>
      </c>
      <c r="AM194" s="107">
        <f>SUM(AM129,AM123:AM124,AM112:AM113,AM106:AM107,AM99:AM100,AM92:AM93,AM86:AM87,AM79:AM80,AM72:AM73,AM66:AM67,AM60:AM61,AM53:AM54,AM46:AM47,AM40:AM41,AM21,AM172,AM164,AM142)</f>
        <v>3946.9059999999995</v>
      </c>
      <c r="AN194" s="108">
        <f>SUM(AN129,AN123:AN124,AN112:AN113,AN106:AN107,AN99:AN100,AN92:AN93,AN86:AN87,AN79:AN80,AN72:AN73,AN66:AN67,AN60:AN61,AN53:AN54,AN46:AN47,AN40:AN41,AN21)</f>
        <v>43.460000000000008</v>
      </c>
      <c r="AO194" s="105">
        <f>SUM(AR194,AP194)</f>
        <v>16.533000000000001</v>
      </c>
      <c r="AP194" s="106">
        <f>SUM(AP129,AP123:AP124,AP112:AP113,AP106:AP107,AP99:AP100,AP92:AP93,AP86:AP87,AP79:AP80,AP72:AP73,AP66:AP67,AP60:AP61,AP53:AP54,AP46:AP47,AP40:AP41,AP21,AP172,AP164,AP142)</f>
        <v>13.033000000000001</v>
      </c>
      <c r="AQ194" s="107">
        <f>SUM(AQ129,AQ123:AQ124,AQ112:AQ113,AQ106:AQ107,AQ99:AQ100,AQ92:AQ93,AQ86:AQ87,AQ79:AQ80,AQ72:AQ73,AQ66:AQ67,AQ60:AQ61,AQ53:AQ54,AQ46:AQ47,AQ40:AQ41,AQ21,AQ172,AQ164,AQ142)</f>
        <v>0</v>
      </c>
      <c r="AR194" s="108">
        <f>SUM(AR129,AR123:AR124,AR112:AR113,AR106:AR107,AR99:AR100,AR92:AR93,AR86:AR87,AR79:AR80,AR72:AR73,AR66:AR67,AR60:AR61,AR53:AR54,AR46:AR47,AR40:AR41,AR21)</f>
        <v>3.5</v>
      </c>
      <c r="AS194" s="105">
        <f>SUM(AV194,AT194)</f>
        <v>0.19200000000000061</v>
      </c>
      <c r="AT194" s="106">
        <f>SUM(AT129,AT123:AT124,AT112:AT113,AT106:AT107,AT99:AT100,AT92:AT93,AT86:AT87,AT79:AT80,AT72:AT73,AT66:AT67,AT60:AT61,AT53:AT54,AT46:AT47,AT40:AT41,AT21,AT172,AT164,AT142)</f>
        <v>0.19200000000000061</v>
      </c>
      <c r="AU194" s="107">
        <f>SUM(AU129,AU123:AU124,AU112:AU113,AU106:AU107,AU99:AU100,AU92:AU93,AU86:AU87,AU79:AU80,AU72:AU73,AU66:AU67,AU60:AU61,AU53:AU54,AU46:AU47,AU40:AU41,AU21,AU172,AU164,AU142)</f>
        <v>-9.7480000000000064</v>
      </c>
      <c r="AV194" s="108">
        <f>SUM(AV129,AV123:AV124,AV112:AV113,AV106:AV107,AV99:AV100,AV92:AV93,AV86:AV87,AV79:AV80,AV72:AV73,AV66:AV67,AV60:AV61,AV53:AV54,AV46:AV47,AV40:AV41,AV21)</f>
        <v>0</v>
      </c>
      <c r="AW194" s="105">
        <f>SUM(AZ194,AX194)</f>
        <v>0</v>
      </c>
      <c r="AX194" s="106">
        <f>SUM(AX129,AX123:AX124,AX112:AX113,AX106:AX107,AX99:AX100,AX92:AX93,AX86:AX87,AX79:AX80,AX72:AX73,AX66:AX67,AX60:AX61,AX53:AX54,AX46:AX47,AX40:AX41,AX21,AX172,AX164,AX142)</f>
        <v>0</v>
      </c>
      <c r="AY194" s="107">
        <f>SUM(AY129,AY123:AY124,AY112:AY113,AY106:AY107,AY99:AY100,AY92:AY93,AY86:AY87,AY79:AY80,AY72:AY73,AY66:AY67,AY60:AY61,AY53:AY54,AY46:AY47,AY40:AY41,AY21,AY172,AY164,AY142)</f>
        <v>0</v>
      </c>
      <c r="AZ194" s="108">
        <f>SUM(AZ129,AZ123:AZ124,AZ112:AZ113,AZ106:AZ107,AZ99:AZ100,AZ92:AZ93,AZ86:AZ87,AZ79:AZ80,AZ72:AZ73,AZ66:AZ67,AZ60:AZ61,AZ53:AZ54,AZ46:AZ47,AZ40:AZ41,AZ21)</f>
        <v>0</v>
      </c>
      <c r="BA194" s="105">
        <f>SUM(BD194,BB194)</f>
        <v>5424.6550000000007</v>
      </c>
      <c r="BB194" s="106">
        <f>SUM(BB129,BB123:BB124,BB112:BB113,BB106:BB107,BB99:BB100,BB92:BB93,BB86:BB87,BB79:BB80,BB72:BB73,BB66:BB67,BB60:BB61,BB53:BB54,BB46:BB47,BB40:BB41,BB21,BB172,BB164,BB142)</f>
        <v>5381.1950000000006</v>
      </c>
      <c r="BC194" s="107">
        <f>SUM(BC129,BC123:BC124,BC112:BC113,BC106:BC107,BC99:BC100,BC92:BC93,BC86:BC87,BC79:BC80,BC72:BC73,BC66:BC67,BC60:BC61,BC53:BC54,BC46:BC47,BC40:BC41,BC21,BC172,BC164,BC142)</f>
        <v>3937.1579999999999</v>
      </c>
      <c r="BD194" s="108">
        <f>SUM(BD129,BD123:BD124,BD112:BD113,BD106:BD107,BD99:BD100,BD92:BD93,BD86:BD87,BD79:BD80,BD72:BD73,BD66:BD67,BD60:BD61,BD53:BD54,BD46:BD47,BD40:BD41,BD21)</f>
        <v>43.460000000000008</v>
      </c>
      <c r="BE194" s="105">
        <f>SUM(BH194,BF194)</f>
        <v>16.533000000000001</v>
      </c>
      <c r="BF194" s="106">
        <f>SUM(BF129,BF123:BF124,BF112:BF113,BF106:BF107,BF99:BF100,BF92:BF93,BF86:BF87,BF79:BF80,BF72:BF73,BF66:BF67,BF60:BF61,BF53:BF54,BF46:BF47,BF40:BF41,BF21,BF172,BF164,BF142)</f>
        <v>13.033000000000001</v>
      </c>
      <c r="BG194" s="107">
        <f>SUM(BG129,BG123:BG124,BG112:BG113,BG106:BG107,BG99:BG100,BG92:BG93,BG86:BG87,BG79:BG80,BG72:BG73,BG66:BG67,BG60:BG61,BG53:BG54,BG46:BG47,BG40:BG41,BG21,BG172,BG164,BG142)</f>
        <v>0</v>
      </c>
      <c r="BH194" s="108">
        <f>SUM(BH129,BH123:BH124,BH112:BH113,BH106:BH107,BH99:BH100,BH92:BH93,BH86:BH87,BH79:BH80,BH72:BH73,BH66:BH67,BH60:BH61,BH53:BH54,BH46:BH47,BH40:BH41,BH21)</f>
        <v>3.5</v>
      </c>
      <c r="BI194" s="105">
        <f>SUM(BL194,BJ194)</f>
        <v>0</v>
      </c>
      <c r="BJ194" s="106">
        <f>SUM(BJ129,BJ123:BJ124,BJ112:BJ113,BJ106:BJ107,BJ99:BJ100,BJ92:BJ93,BJ86:BJ87,BJ79:BJ80,BJ72:BJ73,BJ66:BJ67,BJ60:BJ61,BJ53:BJ54,BJ46:BJ47,BJ40:BJ41,BJ21,BJ172,BJ164,BJ142)</f>
        <v>0</v>
      </c>
      <c r="BK194" s="107">
        <f>SUM(BK129,BK123:BK124,BK112:BK113,BK106:BK107,BK99:BK100,BK92:BK93,BK86:BK87,BK79:BK80,BK72:BK73,BK66:BK67,BK60:BK61,BK53:BK54,BK46:BK47,BK40:BK41,BK21,BK172,BK164,BK142)</f>
        <v>0</v>
      </c>
      <c r="BL194" s="108">
        <f>SUM(BL129,BL123:BL124,BL112:BL113,BL106:BL107,BL99:BL100,BL92:BL93,BL86:BL87,BL79:BL80,BL72:BL73,BL66:BL67,BL60:BL61,BL53:BL54,BL46:BL47,BL40:BL41,BL21)</f>
        <v>0</v>
      </c>
      <c r="BM194" s="105">
        <f>SUM(BP194,BN194)</f>
        <v>0</v>
      </c>
      <c r="BN194" s="106">
        <f>SUM(BN129,BN123:BN124,BN112:BN113,BN106:BN107,BN99:BN100,BN92:BN93,BN86:BN87,BN79:BN80,BN72:BN73,BN66:BN67,BN60:BN61,BN53:BN54,BN46:BN47,BN40:BN41,BN21,BN172,BN164,BN142)</f>
        <v>0</v>
      </c>
      <c r="BO194" s="107">
        <f>SUM(BO129,BO123:BO124,BO112:BO113,BO106:BO107,BO99:BO100,BO92:BO93,BO86:BO87,BO79:BO80,BO72:BO73,BO66:BO67,BO60:BO61,BO53:BO54,BO46:BO47,BO40:BO41,BO21,BO172,BO164,BO142)</f>
        <v>0</v>
      </c>
      <c r="BP194" s="108">
        <f>SUM(BP129,BP123:BP124,BP112:BP113,BP106:BP107,BP99:BP100,BP92:BP93,BP86:BP87,BP79:BP80,BP72:BP73,BP66:BP67,BP60:BP61,BP53:BP54,BP46:BP47,BP40:BP41,BP21)</f>
        <v>0</v>
      </c>
      <c r="BQ194" s="105">
        <f>SUM(BT194,BR194)</f>
        <v>5424.6550000000007</v>
      </c>
      <c r="BR194" s="106">
        <f>SUM(BR129,BR123:BR124,BR112:BR113,BR106:BR107,BR99:BR100,BR92:BR93,BR86:BR87,BR79:BR80,BR72:BR73,BR66:BR67,BR60:BR61,BR53:BR54,BR46:BR47,BR40:BR41,BR21,BR172,BR164,BR142)</f>
        <v>5381.1950000000006</v>
      </c>
      <c r="BS194" s="107">
        <f>SUM(BS129,BS123:BS124,BS112:BS113,BS106:BS107,BS99:BS100,BS92:BS93,BS86:BS87,BS79:BS80,BS72:BS73,BS66:BS67,BS60:BS61,BS53:BS54,BS46:BS47,BS40:BS41,BS21,BS172,BS164,BS142)</f>
        <v>3937.1579999999999</v>
      </c>
      <c r="BT194" s="108">
        <f>SUM(BT129,BT123:BT124,BT112:BT113,BT106:BT107,BT99:BT100,BT92:BT93,BT86:BT87,BT79:BT80,BT72:BT73,BT66:BT67,BT60:BT61,BT53:BT54,BT46:BT47,BT40:BT41,BT21)</f>
        <v>43.460000000000008</v>
      </c>
      <c r="BU194" s="105">
        <f>SUM(BX194,BV194)</f>
        <v>16.533000000000001</v>
      </c>
      <c r="BV194" s="106">
        <f>SUM(BV129,BV123:BV124,BV112:BV113,BV106:BV107,BV99:BV100,BV92:BV93,BV86:BV87,BV79:BV80,BV72:BV73,BV66:BV67,BV60:BV61,BV53:BV54,BV46:BV47,BV40:BV41,BV21,BV172,BV164,BV142)</f>
        <v>13.033000000000001</v>
      </c>
      <c r="BW194" s="107">
        <f>SUM(BW129,BW123:BW124,BW112:BW113,BW106:BW107,BW99:BW100,BW92:BW93,BW86:BW87,BW79:BW80,BW72:BW73,BW66:BW67,BW60:BW61,BW53:BW54,BW46:BW47,BW40:BW41,BW21,BW172,BW164,BW142)</f>
        <v>0</v>
      </c>
      <c r="BX194" s="108">
        <f>SUM(BX129,BX123:BX124,BX112:BX113,BX106:BX107,BX99:BX100,BX92:BX93,BX86:BX87,BX79:BX80,BX72:BX73,BX66:BX67,BX60:BX61,BX53:BX54,BX46:BX47,BX40:BX41,BX21)</f>
        <v>3.5</v>
      </c>
      <c r="BY194" s="105">
        <f>SUM(CB194,BZ194)</f>
        <v>10</v>
      </c>
      <c r="BZ194" s="106">
        <f>SUM(BZ129,BZ123:BZ124,BZ112:BZ113,BZ106:BZ107,BZ99:BZ100,BZ92:BZ93,BZ86:BZ87,BZ79:BZ80,BZ72:BZ73,BZ66:BZ67,BZ60:BZ61,BZ53:BZ54,BZ46:BZ47,BZ40:BZ41,BZ21,BZ172,BZ164,BZ142)</f>
        <v>0</v>
      </c>
      <c r="CA194" s="107">
        <f>SUM(CA129,CA123:CA124,CA112:CA113,CA106:CA107,CA99:CA100,CA92:CA93,CA86:CA87,CA79:CA80,CA72:CA73,CA66:CA67,CA60:CA61,CA53:CA54,CA46:CA47,CA40:CA41,CA21,CA172,CA164,CA142)</f>
        <v>-18.106999999999999</v>
      </c>
      <c r="CB194" s="108">
        <f>SUM(CB129,CB123:CB124,CB112:CB113,CB106:CB107,CB99:CB100,CB92:CB93,CB86:CB87,CB79:CB80,CB72:CB73,CB66:CB67,CB60:CB61,CB53:CB54,CB46:CB47,CB40:CB41,CB21)</f>
        <v>10</v>
      </c>
      <c r="CC194" s="105">
        <f>SUM(CF194,CD194)</f>
        <v>0</v>
      </c>
      <c r="CD194" s="106">
        <f>SUM(CD129,CD123:CD124,CD112:CD113,CD106:CD107,CD99:CD100,CD92:CD93,CD86:CD87,CD79:CD80,CD72:CD73,CD66:CD67,CD60:CD61,CD53:CD54,CD46:CD47,CD40:CD41,CD21,CD172,CD164,CD142)</f>
        <v>0</v>
      </c>
      <c r="CE194" s="107">
        <f>SUM(CE129,CE123:CE124,CE112:CE113,CE106:CE107,CE99:CE100,CE92:CE93,CE86:CE87,CE79:CE80,CE72:CE73,CE66:CE67,CE60:CE61,CE53:CE54,CE46:CE47,CE40:CE41,CE21,CE172,CE164,CE142)</f>
        <v>0</v>
      </c>
      <c r="CF194" s="108">
        <f>SUM(CF129,CF123:CF124,CF112:CF113,CF106:CF107,CF99:CF100,CF92:CF93,CF86:CF87,CF79:CF80,CF72:CF73,CF66:CF67,CF60:CF61,CF53:CF54,CF46:CF47,CF40:CF41,CF21)</f>
        <v>0</v>
      </c>
      <c r="CG194" s="105">
        <f>SUM(CJ194,CH194)</f>
        <v>5434.6550000000007</v>
      </c>
      <c r="CH194" s="106">
        <f>SUM(CH129,CH123:CH124,CH112:CH113,CH106:CH107,CH99:CH100,CH92:CH93,CH86:CH87,CH79:CH80,CH72:CH73,CH66:CH67,CH60:CH61,CH53:CH54,CH46:CH47,CH40:CH41,CH21,CH172,CH164,CH142)</f>
        <v>5381.1950000000006</v>
      </c>
      <c r="CI194" s="107">
        <f>SUM(CI129,CI123:CI124,CI112:CI113,CI106:CI107,CI99:CI100,CI92:CI93,CI86:CI87,CI79:CI80,CI72:CI73,CI66:CI67,CI60:CI61,CI53:CI54,CI46:CI47,CI40:CI41,CI21,CI172,CI164,CI142)</f>
        <v>3919.0509999999999</v>
      </c>
      <c r="CJ194" s="108">
        <f>SUM(CJ129,CJ123:CJ124,CJ112:CJ113,CJ106:CJ107,CJ99:CJ100,CJ92:CJ93,CJ86:CJ87,CJ79:CJ80,CJ72:CJ73,CJ66:CJ67,CJ60:CJ61,CJ53:CJ54,CJ46:CJ47,CJ40:CJ41,CJ21)</f>
        <v>53.46</v>
      </c>
      <c r="CK194" s="105">
        <f>SUM(CN194,CL194)</f>
        <v>16.533000000000001</v>
      </c>
      <c r="CL194" s="106">
        <f>SUM(CL129,CL123:CL124,CL112:CL113,CL106:CL107,CL99:CL100,CL92:CL93,CL86:CL87,CL79:CL80,CL72:CL73,CL66:CL67,CL60:CL61,CL53:CL54,CL46:CL47,CL40:CL41,CL21,CL172,CL164,CL142)</f>
        <v>13.033000000000001</v>
      </c>
      <c r="CM194" s="107">
        <f>SUM(CM129,CM123:CM124,CM112:CM113,CM106:CM107,CM99:CM100,CM92:CM93,CM86:CM87,CM79:CM80,CM72:CM73,CM66:CM67,CM60:CM61,CM53:CM54,CM46:CM47,CM40:CM41,CM21,CM172,CM164,CM142)</f>
        <v>0</v>
      </c>
      <c r="CN194" s="108">
        <f>SUM(CN129,CN123:CN124,CN112:CN113,CN106:CN107,CN99:CN100,CN92:CN93,CN86:CN87,CN79:CN80,CN72:CN73,CN66:CN67,CN60:CN61,CN53:CN54,CN46:CN47,CN40:CN41,CN21)</f>
        <v>3.5</v>
      </c>
      <c r="CO194" s="105">
        <f>SUM(CR194,CP194)</f>
        <v>1.046999999999999</v>
      </c>
      <c r="CP194" s="106">
        <f>SUM(CP129,CP123:CP124,CP112:CP113,CP106:CP107,CP99:CP100,CP92:CP93,CP86:CP87,CP79:CP80,CP72:CP73,CP66:CP67,CP60:CP61,CP53:CP54,CP46:CP47,CP40:CP41,CP21,CP172,CP164,CP142)</f>
        <v>2.8469999999999991</v>
      </c>
      <c r="CQ194" s="107">
        <f>SUM(CQ129,CQ123:CQ124,CQ112:CQ113,CQ106:CQ107,CQ99:CQ100,CQ92:CQ93,CQ86:CQ87,CQ79:CQ80,CQ72:CQ73,CQ66:CQ67,CQ60:CQ61,CQ53:CQ54,CQ46:CQ47,CQ40:CQ41,CQ21,CQ172,CQ164,CQ142)</f>
        <v>0.65000000000000013</v>
      </c>
      <c r="CR194" s="108">
        <f>SUM(CR129,CR123:CR124,CR112:CR113,CR106:CR107,CR99:CR100,CR92:CR93,CR86:CR87,CR79:CR80,CR72:CR73,CR66:CR67,CR60:CR61,CR53:CR54,CR46:CR47,CR40:CR41,CR21)</f>
        <v>-1.8</v>
      </c>
      <c r="CS194" s="105">
        <f>SUM(CV194,CT194)</f>
        <v>0</v>
      </c>
      <c r="CT194" s="106">
        <f>SUM(CT129,CT123:CT124,CT112:CT113,CT106:CT107,CT99:CT100,CT92:CT93,CT86:CT87,CT79:CT80,CT72:CT73,CT66:CT67,CT60:CT61,CT53:CT54,CT46:CT47,CT40:CT41,CT21,CT172,CT164,CT142)</f>
        <v>0</v>
      </c>
      <c r="CU194" s="107">
        <f>SUM(CU129,CU123:CU124,CU112:CU113,CU106:CU107,CU99:CU100,CU92:CU93,CU86:CU87,CU79:CU80,CU72:CU73,CU66:CU67,CU60:CU61,CU53:CU54,CU46:CU47,CU40:CU41,CU21,CU172,CU164,CU142)</f>
        <v>0</v>
      </c>
      <c r="CV194" s="108">
        <f>SUM(CV129,CV123:CV124,CV112:CV113,CV106:CV107,CV99:CV100,CV92:CV93,CV86:CV87,CV79:CV80,CV72:CV73,CV66:CV67,CV60:CV61,CV53:CV54,CV46:CV47,CV40:CV41,CV21)</f>
        <v>0</v>
      </c>
      <c r="CW194" s="105">
        <f>SUM(CZ194,CX194)</f>
        <v>5435.7020000000002</v>
      </c>
      <c r="CX194" s="106">
        <f>SUM(CX129,CX123:CX124,CX112:CX113,CX106:CX107,CX99:CX100,CX92:CX93,CX86:CX87,CX79:CX80,CX72:CX73,CX66:CX67,CX60:CX61,CX53:CX54,CX46:CX47,CX40:CX41,CX21,CX172,CX164,CX142)</f>
        <v>5384.0420000000004</v>
      </c>
      <c r="CY194" s="107">
        <f>SUM(CY129,CY123:CY124,CY112:CY113,CY106:CY107,CY99:CY100,CY92:CY93,CY86:CY87,CY79:CY80,CY72:CY73,CY66:CY67,CY60:CY61,CY53:CY54,CY46:CY47,CY40:CY41,CY21,CY172,CY164,CY142)</f>
        <v>3919.7010000000005</v>
      </c>
      <c r="CZ194" s="108">
        <f>SUM(CZ129,CZ123:CZ124,CZ112:CZ113,CZ106:CZ107,CZ99:CZ100,CZ92:CZ93,CZ86:CZ87,CZ79:CZ80,CZ72:CZ73,CZ66:CZ67,CZ60:CZ61,CZ53:CZ54,CZ46:CZ47,CZ40:CZ41,CZ21)</f>
        <v>51.66</v>
      </c>
      <c r="DA194" s="105">
        <f>SUM(DD194,DB194)</f>
        <v>16.533000000000001</v>
      </c>
      <c r="DB194" s="106">
        <f>SUM(DB129,DB123:DB124,DB112:DB113,DB106:DB107,DB99:DB100,DB92:DB93,DB86:DB87,DB79:DB80,DB72:DB73,DB66:DB67,DB60:DB61,DB53:DB54,DB46:DB47,DB40:DB41,DB21,DB172,DB164,DB142)</f>
        <v>13.033000000000001</v>
      </c>
      <c r="DC194" s="107">
        <f>SUM(DC129,DC123:DC124,DC112:DC113,DC106:DC107,DC99:DC100,DC92:DC93,DC86:DC87,DC79:DC80,DC72:DC73,DC66:DC67,DC60:DC61,DC53:DC54,DC46:DC47,DC40:DC41,DC21,DC172,DC164,DC142)</f>
        <v>0</v>
      </c>
      <c r="DD194" s="108">
        <f>SUM(DD129,DD123:DD124,DD112:DD113,DD106:DD107,DD99:DD100,DD92:DD93,DD86:DD87,DD79:DD80,DD72:DD73,DD66:DD67,DD60:DD61,DD53:DD54,DD46:DD47,DD40:DD41,DD21)</f>
        <v>3.5</v>
      </c>
      <c r="DE194" s="105">
        <f>SUM(DH194,DF194)</f>
        <v>15.992000000000001</v>
      </c>
      <c r="DF194" s="106">
        <f>SUM(DF129,DF123:DF124,DF112:DF113,DF106:DF107,DF99:DF100,DF92:DF93,DF86:DF87,DF79:DF80,DF72:DF73,DF66:DF67,DF60:DF61,DF53:DF54,DF46:DF47,DF40:DF41,DF21,DF172,DF164,DF142)</f>
        <v>15.342000000000001</v>
      </c>
      <c r="DG194" s="107">
        <f>SUM(DG129,DG123:DG124,DG112:DG113,DG106:DG107,DG99:DG100,DG92:DG93,DG86:DG87,DG79:DG80,DG72:DG73,DG66:DG67,DG60:DG61,DG53:DG54,DG46:DG47,DG40:DG41,DG21,DG172,DG164,DG142)</f>
        <v>2.2019999999999995</v>
      </c>
      <c r="DH194" s="108">
        <f>SUM(DH129,DH123:DH124,DH112:DH113,DH106:DH107,DH99:DH100,DH92:DH93,DH86:DH87,DH79:DH80,DH72:DH73,DH66:DH67,DH60:DH61,DH53:DH54,DH46:DH47,DH40:DH41,DH21)</f>
        <v>0.65</v>
      </c>
      <c r="DI194" s="105">
        <f>SUM(DL194,DJ194)</f>
        <v>0</v>
      </c>
      <c r="DJ194" s="106">
        <f>SUM(DJ129,DJ123:DJ124,DJ112:DJ113,DJ106:DJ107,DJ99:DJ100,DJ92:DJ93,DJ86:DJ87,DJ79:DJ80,DJ72:DJ73,DJ66:DJ67,DJ60:DJ61,DJ53:DJ54,DJ46:DJ47,DJ40:DJ41,DJ21,DJ172,DJ164,DJ142)</f>
        <v>0</v>
      </c>
      <c r="DK194" s="107">
        <f>SUM(DK129,DK123:DK124,DK112:DK113,DK106:DK107,DK99:DK100,DK92:DK93,DK86:DK87,DK79:DK80,DK72:DK73,DK66:DK67,DK60:DK61,DK53:DK54,DK46:DK47,DK40:DK41,DK21,DK172,DK164,DK142)</f>
        <v>0</v>
      </c>
      <c r="DL194" s="108">
        <f>SUM(DL129,DL123:DL124,DL112:DL113,DL106:DL107,DL99:DL100,DL92:DL93,DL86:DL87,DL79:DL80,DL72:DL73,DL66:DL67,DL60:DL61,DL53:DL54,DL46:DL47,DL40:DL41,DL21)</f>
        <v>0</v>
      </c>
      <c r="DM194" s="105">
        <f>SUM(DP194,DN194)</f>
        <v>5451.6940000000004</v>
      </c>
      <c r="DN194" s="106">
        <f>SUM(DN129,DN123:DN124,DN112:DN113,DN106:DN107,DN99:DN100,DN92:DN93,DN86:DN87,DN79:DN80,DN72:DN73,DN66:DN67,DN60:DN61,DN53:DN54,DN46:DN47,DN40:DN41,DN21,DN172,DN164,DN142)</f>
        <v>5399.384</v>
      </c>
      <c r="DO194" s="107">
        <f>SUM(DO129,DO123:DO124,DO112:DO113,DO106:DO107,DO99:DO100,DO92:DO93,DO86:DO87,DO79:DO80,DO72:DO73,DO66:DO67,DO60:DO61,DO53:DO54,DO46:DO47,DO40:DO41,DO21,DO172,DO164,DO142)</f>
        <v>3921.9029999999998</v>
      </c>
      <c r="DP194" s="108">
        <f>SUM(DP129,DP123:DP124,DP112:DP113,DP106:DP107,DP99:DP100,DP92:DP93,DP86:DP87,DP79:DP80,DP72:DP73,DP66:DP67,DP60:DP61,DP53:DP54,DP46:DP47,DP40:DP41,DP21)</f>
        <v>52.31</v>
      </c>
      <c r="DQ194" s="105">
        <f>SUM(DT194,DR194)</f>
        <v>16.533000000000001</v>
      </c>
      <c r="DR194" s="106">
        <f>SUM(DR129,DR123:DR124,DR112:DR113,DR106:DR107,DR99:DR100,DR92:DR93,DR86:DR87,DR79:DR80,DR72:DR73,DR66:DR67,DR60:DR61,DR53:DR54,DR46:DR47,DR40:DR41,DR21,DR172,DR164,DR142)</f>
        <v>13.033000000000001</v>
      </c>
      <c r="DS194" s="107">
        <f>SUM(DS129,DS123:DS124,DS112:DS113,DS106:DS107,DS99:DS100,DS92:DS93,DS86:DS87,DS79:DS80,DS72:DS73,DS66:DS67,DS60:DS61,DS53:DS54,DS46:DS47,DS40:DS41,DS21,DS172,DS164,DS142)</f>
        <v>0</v>
      </c>
      <c r="DT194" s="108">
        <f>SUM(DT129,DT123:DT124,DT112:DT113,DT106:DT107,DT99:DT100,DT92:DT93,DT86:DT87,DT79:DT80,DT72:DT73,DT66:DT67,DT60:DT61,DT53:DT54,DT46:DT47,DT40:DT41,DT21)</f>
        <v>3.5</v>
      </c>
      <c r="DU194" s="105">
        <f>SUM(DX194,DV194)</f>
        <v>-5.2499999999999982</v>
      </c>
      <c r="DV194" s="106">
        <f>SUM(DV129,DV123:DV124,DV112:DV113,DV106:DV107,DV99:DV100,DV92:DV93,DV86:DV87,DV79:DV80,DV72:DV73,DV66:DV67,DV60:DV61,DV53:DV54,DV46:DV47,DV40:DV41,DV21,DV172,DV164,DV142)</f>
        <v>-8.1659999999999986</v>
      </c>
      <c r="DW194" s="107">
        <f>SUM(DW129,DW123:DW124,DW112:DW113,DW106:DW107,DW99:DW100,DW92:DW93,DW86:DW87,DW79:DW80,DW72:DW73,DW66:DW67,DW60:DW61,DW53:DW54,DW46:DW47,DW40:DW41,DW21,DW172,DW164,DW142)</f>
        <v>-3.129</v>
      </c>
      <c r="DX194" s="108">
        <f>SUM(DX129,DX123:DX124,DX112:DX113,DX106:DX107,DX99:DX100,DX92:DX93,DX86:DX87,DX79:DX80,DX72:DX73,DX66:DX67,DX60:DX61,DX53:DX54,DX46:DX47,DX40:DX41,DX21)</f>
        <v>2.9159999999999999</v>
      </c>
      <c r="DY194" s="105">
        <f>SUM(EB194,DZ194)</f>
        <v>0</v>
      </c>
      <c r="DZ194" s="106">
        <f>SUM(DZ129,DZ123:DZ124,DZ112:DZ113,DZ106:DZ107,DZ99:DZ100,DZ92:DZ93,DZ86:DZ87,DZ79:DZ80,DZ72:DZ73,DZ66:DZ67,DZ60:DZ61,DZ53:DZ54,DZ46:DZ47,DZ40:DZ41,DZ21,DZ172,DZ164,DZ142)</f>
        <v>0</v>
      </c>
      <c r="EA194" s="107">
        <f>SUM(EA129,EA123:EA124,EA112:EA113,EA106:EA107,EA99:EA100,EA92:EA93,EA86:EA87,EA79:EA80,EA72:EA73,EA66:EA67,EA60:EA61,EA53:EA54,EA46:EA47,EA40:EA41,EA21,EA172,EA164,EA142)</f>
        <v>0</v>
      </c>
      <c r="EB194" s="108">
        <f>SUM(EB129,EB123:EB124,EB112:EB113,EB106:EB107,EB99:EB100,EB92:EB93,EB86:EB87,EB79:EB80,EB72:EB73,EB66:EB67,EB60:EB61,EB53:EB54,EB46:EB47,EB40:EB41,EB21)</f>
        <v>0</v>
      </c>
      <c r="EC194" s="105">
        <f>SUM(EF194,ED194)</f>
        <v>5446.4439999999995</v>
      </c>
      <c r="ED194" s="106">
        <f>SUM(ED129,ED123:ED124,ED112:ED113,ED106:ED107,ED99:ED100,ED92:ED93,ED86:ED87,ED79:ED80,ED72:ED73,ED66:ED67,ED60:ED61,ED53:ED54,ED46:ED47,ED40:ED41,ED21,ED172,ED164,ED142)</f>
        <v>5391.2179999999998</v>
      </c>
      <c r="EE194" s="107">
        <f>SUM(EE129,EE123:EE124,EE112:EE113,EE106:EE107,EE99:EE100,EE92:EE93,EE86:EE87,EE79:EE80,EE72:EE73,EE66:EE67,EE60:EE61,EE53:EE54,EE46:EE47,EE40:EE41,EE21,EE172,EE164,EE142)</f>
        <v>3918.7739999999994</v>
      </c>
      <c r="EF194" s="108">
        <f>SUM(EF129,EF123:EF124,EF112:EF113,EF106:EF107,EF99:EF100,EF92:EF93,EF86:EF87,EF79:EF80,EF72:EF73,EF66:EF67,EF60:EF61,EF53:EF54,EF46:EF47,EF40:EF41,EF21)</f>
        <v>55.225999999999999</v>
      </c>
      <c r="EG194" s="105">
        <f>SUM(EJ194,EH194)</f>
        <v>16.533000000000001</v>
      </c>
      <c r="EH194" s="106">
        <f>SUM(EH129,EH123:EH124,EH112:EH113,EH106:EH107,EH99:EH100,EH92:EH93,EH86:EH87,EH79:EH80,EH72:EH73,EH66:EH67,EH60:EH61,EH53:EH54,EH46:EH47,EH40:EH41,EH21,EH172,EH164,EH142)</f>
        <v>13.033000000000001</v>
      </c>
      <c r="EI194" s="107">
        <f>SUM(EI129,EI123:EI124,EI112:EI113,EI106:EI107,EI99:EI100,EI92:EI93,EI86:EI87,EI79:EI80,EI72:EI73,EI66:EI67,EI60:EI61,EI53:EI54,EI46:EI47,EI40:EI41,EI21,EI172,EI164,EI142)</f>
        <v>0</v>
      </c>
      <c r="EJ194" s="108">
        <f>SUM(EJ129,EJ123:EJ124,EJ112:EJ113,EJ106:EJ107,EJ99:EJ100,EJ92:EJ93,EJ86:EJ87,EJ79:EJ80,EJ72:EJ73,EJ66:EJ67,EJ60:EJ61,EJ53:EJ54,EJ46:EJ47,EJ40:EJ41,EJ21)</f>
        <v>3.5</v>
      </c>
      <c r="EK194" s="163">
        <f t="shared" si="1402"/>
        <v>512.00399999999991</v>
      </c>
      <c r="EL194" s="163">
        <f t="shared" si="1403"/>
        <v>489.5630000000001</v>
      </c>
      <c r="EM194" s="105">
        <f>SUM(EP194,EN194)</f>
        <v>5936.0069999999996</v>
      </c>
      <c r="EN194" s="106">
        <f>SUM(EN129,EN123:EN124,EN112:EN113,EN106:EN107,EN99:EN100,EN92:EN93,EN86:EN87,EN79:EN80,EN72:EN73,EN66:EN67,EN60:EN61,EN53:EN54,EN46:EN47,EN40:EN41,EN21,EN172,EN164,EN142)</f>
        <v>5838.9169999999995</v>
      </c>
      <c r="EO194" s="107">
        <f>SUM(EO129,EO123:EO124,EO112:EO113,EO106:EO107,EO99:EO100,EO92:EO93,EO86:EO87,EO79:EO80,EO72:EO73,EO66:EO67,EO60:EO61,EO53:EO54,EO46:EO47,EO40:EO41,EO21,EO172,EO164,EO142)</f>
        <v>4343.7460000000001</v>
      </c>
      <c r="EP194" s="108">
        <f>SUM(EP129,EP123:EP124,EP112:EP113,EP106:EP107,EP99:EP100,EP92:EP93,EP86:EP87,EP79:EP80,EP72:EP73,EP66:EP67,EP60:EP61,EP53:EP54,EP46:EP47,EP40:EP41,EP21)</f>
        <v>97.089999999999989</v>
      </c>
      <c r="EQ194" s="105">
        <f>SUM(ET194,ER194)</f>
        <v>271.86699999999996</v>
      </c>
      <c r="ER194" s="106">
        <f>SUM(ER129,ER123:ER124,ER112:ER113,ER106:ER107,ER99:ER100,ER92:ER93,ER86:ER87,ER79:ER80,ER72:ER73,ER66:ER67,ER60:ER61,ER53:ER54,ER46:ER47,ER40:ER41,ER21,ER172,ER164,ER142)</f>
        <v>216.36699999999999</v>
      </c>
      <c r="ES194" s="107">
        <f>SUM(ES129,ES123:ES124,ES112:ES113,ES106:ES107,ES99:ES100,ES92:ES93,ES86:ES87,ES79:ES80,ES72:ES73,ES66:ES67,ES60:ES61,ES53:ES54,ES46:ES47,ES40:ES41,ES21,ES172,ES164,ES142)</f>
        <v>145.98499999999999</v>
      </c>
      <c r="ET194" s="108">
        <f>SUM(ET129,ET123:ET124,ET112:ET113,ET106:ET107,ET99:ET100,ET92:ET93,ET86:ET87,ET79:ET80,ET72:ET73,ET66:ET67,ET60:ET61,ET53:ET54,ET46:ET47,ET40:ET41,ET21)</f>
        <v>55.5</v>
      </c>
    </row>
    <row r="195" spans="1:150" ht="21.75" customHeight="1" x14ac:dyDescent="0.25">
      <c r="A195" s="18"/>
      <c r="B195" s="68" t="s">
        <v>120</v>
      </c>
      <c r="C195" s="706">
        <v>3</v>
      </c>
      <c r="D195" s="707"/>
      <c r="E195" s="105">
        <f>SUM(H195,F195)</f>
        <v>1007.6</v>
      </c>
      <c r="F195" s="106">
        <f>SUM(F22,F130,F131,F143,F144)</f>
        <v>944.15</v>
      </c>
      <c r="G195" s="107">
        <f>SUM(G22,G130,G131,G143,G144)</f>
        <v>695.18700000000013</v>
      </c>
      <c r="H195" s="108">
        <f>SUM(H22,H130,H131,H143,H144)</f>
        <v>63.45</v>
      </c>
      <c r="I195" s="105">
        <f>SUM(L195,J195)</f>
        <v>108.16</v>
      </c>
      <c r="J195" s="106">
        <f>SUM(J22,J130,J131,J143,J144)</f>
        <v>56.559999999999995</v>
      </c>
      <c r="K195" s="107">
        <f>SUM(K22,K130,K131,K143,K144)</f>
        <v>16.387</v>
      </c>
      <c r="L195" s="108">
        <f>SUM(L22,L130,L131,L143,L144)</f>
        <v>51.6</v>
      </c>
      <c r="M195" s="105">
        <f>SUM(P195,N195)</f>
        <v>0</v>
      </c>
      <c r="N195" s="106">
        <f>SUM(N22,N130,N131,N143,N144)</f>
        <v>0</v>
      </c>
      <c r="O195" s="107">
        <f>SUM(O22,O130,O131,O143,O144)</f>
        <v>0</v>
      </c>
      <c r="P195" s="108">
        <f>SUM(P22,P130,P131,P143,P144)</f>
        <v>0</v>
      </c>
      <c r="Q195" s="105">
        <f>SUM(T195,R195)</f>
        <v>0</v>
      </c>
      <c r="R195" s="106">
        <f>SUM(R22,R130,R131,R143,R144)</f>
        <v>0</v>
      </c>
      <c r="S195" s="107">
        <f>SUM(S22,S130,S131,S143,S144)</f>
        <v>0</v>
      </c>
      <c r="T195" s="108">
        <f>SUM(T22,T130,T131,T143,T144)</f>
        <v>0</v>
      </c>
      <c r="U195" s="105">
        <f>SUM(X195,V195)</f>
        <v>1007.6</v>
      </c>
      <c r="V195" s="106">
        <f>SUM(V22,V130,V131,V143,V144)</f>
        <v>944.15</v>
      </c>
      <c r="W195" s="107">
        <f>SUM(W22,W130,W131,W143,W144)</f>
        <v>695.18700000000013</v>
      </c>
      <c r="X195" s="108">
        <f>SUM(X22,X130,X131,X143,X144)</f>
        <v>63.45</v>
      </c>
      <c r="Y195" s="105">
        <f>SUM(AB195,Z195)</f>
        <v>108.16</v>
      </c>
      <c r="Z195" s="106">
        <f>SUM(Z22,Z130,Z131,Z143,Z144)</f>
        <v>56.559999999999995</v>
      </c>
      <c r="AA195" s="107">
        <f>SUM(AA22,AA130,AA131,AA143,AA144)</f>
        <v>16.387</v>
      </c>
      <c r="AB195" s="108">
        <f>SUM(AB22,AB130,AB131,AB143,AB144)</f>
        <v>51.6</v>
      </c>
      <c r="AC195" s="105">
        <f>SUM(AF195,AD195)</f>
        <v>0</v>
      </c>
      <c r="AD195" s="106">
        <f>SUM(AD22,AD130,AD131,AD143,AD144)</f>
        <v>0</v>
      </c>
      <c r="AE195" s="107">
        <f>SUM(AE22,AE130,AE131,AE143,AE144)</f>
        <v>0</v>
      </c>
      <c r="AF195" s="108">
        <f>SUM(AF22,AF130,AF131,AF143,AF144)</f>
        <v>0</v>
      </c>
      <c r="AG195" s="105">
        <f>SUM(AJ195,AH195)</f>
        <v>0</v>
      </c>
      <c r="AH195" s="106">
        <f>SUM(AH22,AH130,AH131,AH143,AH144)</f>
        <v>0</v>
      </c>
      <c r="AI195" s="107">
        <f>SUM(AI22,AI130,AI131,AI143,AI144)</f>
        <v>0</v>
      </c>
      <c r="AJ195" s="108">
        <f>SUM(AJ22,AJ130,AJ131,AJ143,AJ144)</f>
        <v>0</v>
      </c>
      <c r="AK195" s="105">
        <f>SUM(AN195,AL195)</f>
        <v>1007.6</v>
      </c>
      <c r="AL195" s="106">
        <f>SUM(AL22,AL130,AL131,AL143,AL144)</f>
        <v>944.15</v>
      </c>
      <c r="AM195" s="107">
        <f>SUM(AM22,AM130,AM131,AM143,AM144)</f>
        <v>695.18700000000013</v>
      </c>
      <c r="AN195" s="108">
        <f>SUM(AN22,AN130,AN131,AN143,AN144)</f>
        <v>63.45</v>
      </c>
      <c r="AO195" s="105">
        <f>SUM(AR195,AP195)</f>
        <v>108.16</v>
      </c>
      <c r="AP195" s="106">
        <f>SUM(AP22,AP130,AP131,AP143,AP144)</f>
        <v>56.559999999999995</v>
      </c>
      <c r="AQ195" s="107">
        <f>SUM(AQ22,AQ130,AQ131,AQ143,AQ144)</f>
        <v>16.387</v>
      </c>
      <c r="AR195" s="108">
        <f>SUM(AR22,AR130,AR131,AR143,AR144)</f>
        <v>51.6</v>
      </c>
      <c r="AS195" s="105">
        <f>SUM(AV195,AT195)</f>
        <v>0</v>
      </c>
      <c r="AT195" s="106">
        <f>SUM(AT22,AT130,AT131,AT143,AT144)</f>
        <v>0</v>
      </c>
      <c r="AU195" s="107">
        <f>SUM(AU22,AU130,AU131,AU143,AU144)</f>
        <v>0</v>
      </c>
      <c r="AV195" s="108">
        <f>SUM(AV22,AV130,AV131,AV143,AV144)</f>
        <v>0</v>
      </c>
      <c r="AW195" s="105">
        <f>SUM(AZ195,AX195)</f>
        <v>0</v>
      </c>
      <c r="AX195" s="106">
        <f>SUM(AX22,AX130,AX131,AX143,AX144)</f>
        <v>0</v>
      </c>
      <c r="AY195" s="107">
        <f>SUM(AY22,AY130,AY131,AY143,AY144)</f>
        <v>0</v>
      </c>
      <c r="AZ195" s="108">
        <f>SUM(AZ22,AZ130,AZ131,AZ143,AZ144)</f>
        <v>0</v>
      </c>
      <c r="BA195" s="105">
        <f>SUM(BD195,BB195)</f>
        <v>1007.6</v>
      </c>
      <c r="BB195" s="106">
        <f>SUM(BB22,BB130,BB131,BB143,BB144)</f>
        <v>944.15</v>
      </c>
      <c r="BC195" s="107">
        <f>SUM(BC22,BC130,BC131,BC143,BC144)</f>
        <v>695.18700000000013</v>
      </c>
      <c r="BD195" s="108">
        <f>SUM(BD22,BD130,BD131,BD143,BD144)</f>
        <v>63.45</v>
      </c>
      <c r="BE195" s="105">
        <f>SUM(BH195,BF195)</f>
        <v>108.16</v>
      </c>
      <c r="BF195" s="106">
        <f>SUM(BF22,BF130,BF131,BF143,BF144)</f>
        <v>56.559999999999995</v>
      </c>
      <c r="BG195" s="107">
        <f>SUM(BG22,BG130,BG131,BG143,BG144)</f>
        <v>16.387</v>
      </c>
      <c r="BH195" s="108">
        <f>SUM(BH22,BH130,BH131,BH143,BH144)</f>
        <v>51.6</v>
      </c>
      <c r="BI195" s="105">
        <f>SUM(BL195,BJ195)</f>
        <v>0</v>
      </c>
      <c r="BJ195" s="106">
        <f>SUM(BJ22,BJ130,BJ131,BJ143,BJ144)</f>
        <v>0</v>
      </c>
      <c r="BK195" s="107">
        <f>SUM(BK22,BK130,BK131,BK143,BK144)</f>
        <v>0</v>
      </c>
      <c r="BL195" s="108">
        <f>SUM(BL22,BL130,BL131,BL143,BL144)</f>
        <v>0</v>
      </c>
      <c r="BM195" s="105">
        <f>SUM(BP195,BN195)</f>
        <v>0</v>
      </c>
      <c r="BN195" s="106">
        <f>SUM(BN22,BN130,BN131,BN143,BN144)</f>
        <v>0</v>
      </c>
      <c r="BO195" s="107">
        <f>SUM(BO22,BO130,BO131,BO143,BO144)</f>
        <v>0</v>
      </c>
      <c r="BP195" s="108">
        <f>SUM(BP22,BP130,BP131,BP143,BP144)</f>
        <v>0</v>
      </c>
      <c r="BQ195" s="105">
        <f>SUM(BT195,BR195)</f>
        <v>1007.6</v>
      </c>
      <c r="BR195" s="106">
        <f>SUM(BR22,BR130,BR131,BR143,BR144)</f>
        <v>944.15</v>
      </c>
      <c r="BS195" s="107">
        <f>SUM(BS22,BS130,BS131,BS143,BS144)</f>
        <v>695.18700000000013</v>
      </c>
      <c r="BT195" s="108">
        <f>SUM(BT22,BT130,BT131,BT143,BT144)</f>
        <v>63.45</v>
      </c>
      <c r="BU195" s="105">
        <f>SUM(BX195,BV195)</f>
        <v>108.16</v>
      </c>
      <c r="BV195" s="106">
        <f>SUM(BV22,BV130,BV131,BV143,BV144)</f>
        <v>56.559999999999995</v>
      </c>
      <c r="BW195" s="107">
        <f>SUM(BW22,BW130,BW131,BW143,BW144)</f>
        <v>16.387</v>
      </c>
      <c r="BX195" s="108">
        <f>SUM(BX22,BX130,BX131,BX143,BX144)</f>
        <v>51.6</v>
      </c>
      <c r="BY195" s="105">
        <f>SUM(CB195,BZ195)</f>
        <v>0</v>
      </c>
      <c r="BZ195" s="106">
        <f>SUM(BZ22,BZ130,BZ131,BZ143,BZ144)</f>
        <v>0</v>
      </c>
      <c r="CA195" s="107">
        <f>SUM(CA22,CA130,CA131,CA143,CA144)</f>
        <v>-3.9420000000000002</v>
      </c>
      <c r="CB195" s="108">
        <f>SUM(CB22,CB130,CB131,CB143,CB144)</f>
        <v>0</v>
      </c>
      <c r="CC195" s="105">
        <f>SUM(CF195,CD195)</f>
        <v>0</v>
      </c>
      <c r="CD195" s="106">
        <f>SUM(CD22,CD130,CD131,CD143,CD144)</f>
        <v>0</v>
      </c>
      <c r="CE195" s="107">
        <f>SUM(CE22,CE130,CE131,CE143,CE144)</f>
        <v>0</v>
      </c>
      <c r="CF195" s="108">
        <f>SUM(CF22,CF130,CF131,CF143,CF144)</f>
        <v>0</v>
      </c>
      <c r="CG195" s="105">
        <f>SUM(CJ195,CH195)</f>
        <v>1007.6</v>
      </c>
      <c r="CH195" s="106">
        <f>SUM(CH22,CH130,CH131,CH143,CH144)</f>
        <v>944.15</v>
      </c>
      <c r="CI195" s="107">
        <f>SUM(CI22,CI130,CI131,CI143,CI144)</f>
        <v>691.24500000000012</v>
      </c>
      <c r="CJ195" s="108">
        <f>SUM(CJ22,CJ130,CJ131,CJ143,CJ144)</f>
        <v>63.45</v>
      </c>
      <c r="CK195" s="105">
        <f>SUM(CN195,CL195)</f>
        <v>108.16</v>
      </c>
      <c r="CL195" s="106">
        <f>SUM(CL22,CL130,CL131,CL143,CL144)</f>
        <v>56.559999999999995</v>
      </c>
      <c r="CM195" s="107">
        <f>SUM(CM22,CM130,CM131,CM143,CM144)</f>
        <v>16.387</v>
      </c>
      <c r="CN195" s="108">
        <f>SUM(CN22,CN130,CN131,CN143,CN144)</f>
        <v>51.6</v>
      </c>
      <c r="CO195" s="105">
        <f>SUM(CR195,CP195)</f>
        <v>-9.9999999999999645E-2</v>
      </c>
      <c r="CP195" s="106">
        <f>SUM(CP22,CP130,CP131,CP143,CP144)</f>
        <v>-9.9999999999999645E-2</v>
      </c>
      <c r="CQ195" s="107">
        <f>SUM(CQ22,CQ130,CQ131,CQ143,CQ144)</f>
        <v>0</v>
      </c>
      <c r="CR195" s="108">
        <f>SUM(CR22,CR130,CR131,CR143,CR144)</f>
        <v>0</v>
      </c>
      <c r="CS195" s="105">
        <f>SUM(CV195,CT195)</f>
        <v>0</v>
      </c>
      <c r="CT195" s="106">
        <f>SUM(CT22,CT130,CT131,CT143,CT144)</f>
        <v>0</v>
      </c>
      <c r="CU195" s="107">
        <f>SUM(CU22,CU130,CU131,CU143,CU144)</f>
        <v>0</v>
      </c>
      <c r="CV195" s="108">
        <f>SUM(CV22,CV130,CV131,CV143,CV144)</f>
        <v>0</v>
      </c>
      <c r="CW195" s="105">
        <f>SUM(CZ195,CX195)</f>
        <v>1007.5</v>
      </c>
      <c r="CX195" s="106">
        <f>SUM(CX22,CX130,CX131,CX143,CX144)</f>
        <v>944.05</v>
      </c>
      <c r="CY195" s="107">
        <f>SUM(CY22,CY130,CY131,CY143,CY144)</f>
        <v>691.24500000000012</v>
      </c>
      <c r="CZ195" s="108">
        <f>SUM(CZ22,CZ130,CZ131,CZ143,CZ144)</f>
        <v>63.45</v>
      </c>
      <c r="DA195" s="105">
        <f>SUM(DD195,DB195)</f>
        <v>108.16</v>
      </c>
      <c r="DB195" s="106">
        <f>SUM(DB22,DB130,DB131,DB143,DB144)</f>
        <v>56.559999999999995</v>
      </c>
      <c r="DC195" s="107">
        <f>SUM(DC22,DC130,DC131,DC143,DC144)</f>
        <v>16.387</v>
      </c>
      <c r="DD195" s="108">
        <f>SUM(DD22,DD130,DD131,DD143,DD144)</f>
        <v>51.6</v>
      </c>
      <c r="DE195" s="105">
        <f>SUM(DH195,DF195)</f>
        <v>2.0700000000000003</v>
      </c>
      <c r="DF195" s="106">
        <f>SUM(DF22,DF130,DF131,DF143,DF144)</f>
        <v>2.0700000000000003</v>
      </c>
      <c r="DG195" s="107">
        <f>SUM(DG22,DG130,DG131,DG143,DG144)</f>
        <v>-1.51</v>
      </c>
      <c r="DH195" s="108">
        <f>SUM(DH22,DH130,DH131,DH143,DH144)</f>
        <v>0</v>
      </c>
      <c r="DI195" s="105">
        <f>SUM(DL195,DJ195)</f>
        <v>0</v>
      </c>
      <c r="DJ195" s="106">
        <f>SUM(DJ22,DJ130,DJ131,DJ143,DJ144)</f>
        <v>0</v>
      </c>
      <c r="DK195" s="107">
        <f>SUM(DK22,DK130,DK131,DK143,DK144)</f>
        <v>0</v>
      </c>
      <c r="DL195" s="108">
        <f>SUM(DL22,DL130,DL131,DL143,DL144)</f>
        <v>0</v>
      </c>
      <c r="DM195" s="105">
        <f>SUM(DP195,DN195)</f>
        <v>1009.57</v>
      </c>
      <c r="DN195" s="106">
        <f>SUM(DN22,DN130,DN131,DN143,DN144)</f>
        <v>946.12</v>
      </c>
      <c r="DO195" s="107">
        <f>SUM(DO22,DO130,DO131,DO143,DO144)</f>
        <v>689.73500000000013</v>
      </c>
      <c r="DP195" s="108">
        <f>SUM(DP22,DP130,DP131,DP143,DP144)</f>
        <v>63.45</v>
      </c>
      <c r="DQ195" s="105">
        <f>SUM(DT195,DR195)</f>
        <v>108.16</v>
      </c>
      <c r="DR195" s="106">
        <f>SUM(DR22,DR130,DR131,DR143,DR144)</f>
        <v>56.559999999999995</v>
      </c>
      <c r="DS195" s="107">
        <f>SUM(DS22,DS130,DS131,DS143,DS144)</f>
        <v>16.387</v>
      </c>
      <c r="DT195" s="108">
        <f>SUM(DT22,DT130,DT131,DT143,DT144)</f>
        <v>51.6</v>
      </c>
      <c r="DU195" s="105">
        <f>SUM(DX195,DV195)</f>
        <v>9.6</v>
      </c>
      <c r="DV195" s="106">
        <f>SUM(DV22,DV130,DV131,DV143,DV144)</f>
        <v>11</v>
      </c>
      <c r="DW195" s="107">
        <f>SUM(DW22,DW130,DW131,DW143,DW144)</f>
        <v>0</v>
      </c>
      <c r="DX195" s="108">
        <f>SUM(DX22,DX130,DX131,DX143,DX144)</f>
        <v>-1.4</v>
      </c>
      <c r="DY195" s="105">
        <f>SUM(EB195,DZ195)</f>
        <v>0</v>
      </c>
      <c r="DZ195" s="106">
        <f>SUM(DZ22,DZ130,DZ131,DZ143,DZ144)</f>
        <v>0</v>
      </c>
      <c r="EA195" s="107">
        <f>SUM(EA22,EA130,EA131,EA143,EA144)</f>
        <v>0</v>
      </c>
      <c r="EB195" s="108">
        <f>SUM(EB22,EB130,EB131,EB143,EB144)</f>
        <v>0</v>
      </c>
      <c r="EC195" s="105">
        <f>SUM(EF195,ED195)</f>
        <v>1019.17</v>
      </c>
      <c r="ED195" s="106">
        <f>SUM(ED22,ED130,ED131,ED143,ED144)</f>
        <v>957.12</v>
      </c>
      <c r="EE195" s="107">
        <f>SUM(EE22,EE130,EE131,EE143,EE144)</f>
        <v>689.73500000000013</v>
      </c>
      <c r="EF195" s="108">
        <f>SUM(EF22,EF130,EF131,EF143,EF144)</f>
        <v>62.050000000000004</v>
      </c>
      <c r="EG195" s="105">
        <f>SUM(EJ195,EH195)</f>
        <v>108.16</v>
      </c>
      <c r="EH195" s="106">
        <f>SUM(EH22,EH130,EH131,EH143,EH144)</f>
        <v>56.559999999999995</v>
      </c>
      <c r="EI195" s="107">
        <f>SUM(EI22,EI130,EI131,EI143,EI144)</f>
        <v>16.387</v>
      </c>
      <c r="EJ195" s="108">
        <f>SUM(EJ22,EJ130,EJ131,EJ143,EJ144)</f>
        <v>51.6</v>
      </c>
      <c r="EK195" s="163">
        <f t="shared" si="1402"/>
        <v>142.32599999999991</v>
      </c>
      <c r="EL195" s="163">
        <f t="shared" si="1403"/>
        <v>130.75599999999997</v>
      </c>
      <c r="EM195" s="105">
        <f>SUM(EP195,EN195)</f>
        <v>1149.9259999999999</v>
      </c>
      <c r="EN195" s="106">
        <f>SUM(EN22,EN130,EN131,EN143,EN144)</f>
        <v>1019.486</v>
      </c>
      <c r="EO195" s="107">
        <f>SUM(EO22,EO130,EO131,EO143,EO144)</f>
        <v>743.80899999999997</v>
      </c>
      <c r="EP195" s="108">
        <f>SUM(EP22,EP130,EP131,EP143,EP144)</f>
        <v>130.44000000000003</v>
      </c>
      <c r="EQ195" s="105">
        <f>SUM(ET195,ER195)</f>
        <v>202.26500000000001</v>
      </c>
      <c r="ER195" s="106">
        <f>SUM(ER22,ER130,ER131,ER143,ER144)</f>
        <v>84.025000000000006</v>
      </c>
      <c r="ES195" s="107">
        <f>SUM(ES22,ES130,ES131,ES143,ES144)</f>
        <v>24.908999999999999</v>
      </c>
      <c r="ET195" s="108">
        <f>SUM(ET22,ET130,ET131,ET143,ET144)</f>
        <v>118.24000000000001</v>
      </c>
    </row>
    <row r="196" spans="1:150" ht="27.75" customHeight="1" x14ac:dyDescent="0.25">
      <c r="A196" s="18"/>
      <c r="B196" s="69" t="s">
        <v>44</v>
      </c>
      <c r="C196" s="706">
        <v>4</v>
      </c>
      <c r="D196" s="707"/>
      <c r="E196" s="105">
        <f t="shared" ref="E196:E201" si="2052">SUM(H196,F196)</f>
        <v>1113.4079999999999</v>
      </c>
      <c r="F196" s="106">
        <f>SUM(F132,F158,F159,F153,F154,F23)</f>
        <v>1113.4079999999999</v>
      </c>
      <c r="G196" s="107">
        <f>SUM(G132,G158,G159,G153,G154,G23)</f>
        <v>852.16499999999996</v>
      </c>
      <c r="H196" s="108">
        <f>SUM(H132,H158,H159,H153,H154,H23)</f>
        <v>0</v>
      </c>
      <c r="I196" s="105">
        <f t="shared" ref="I196:I197" si="2053">SUM(L196,J196)</f>
        <v>9.0679999999999996</v>
      </c>
      <c r="J196" s="106">
        <f>SUM(J132,J158,J159,J153,J154,J23)</f>
        <v>9.0679999999999996</v>
      </c>
      <c r="K196" s="107">
        <f>SUM(K132,K158,K159,K153,K154,K23)</f>
        <v>0</v>
      </c>
      <c r="L196" s="108">
        <f>SUM(L132,L158,L159,L153,L154,L23)</f>
        <v>0</v>
      </c>
      <c r="M196" s="105">
        <f t="shared" ref="M196:M197" si="2054">SUM(P196,N196)</f>
        <v>0</v>
      </c>
      <c r="N196" s="106">
        <f>SUM(N132,N158,N159,N153,N154,N23)</f>
        <v>0</v>
      </c>
      <c r="O196" s="107">
        <f>SUM(O132,O158,O159,O153,O154,O23)</f>
        <v>0</v>
      </c>
      <c r="P196" s="108">
        <f>SUM(P132,P158,P159,P153,P154,P23)</f>
        <v>0</v>
      </c>
      <c r="Q196" s="105">
        <f t="shared" ref="Q196:Q197" si="2055">SUM(T196,R196)</f>
        <v>0</v>
      </c>
      <c r="R196" s="106">
        <f>SUM(R132,R158,R159,R153,R154,R23)</f>
        <v>0</v>
      </c>
      <c r="S196" s="107">
        <f>SUM(S132,S158,S159,S153,S154,S23)</f>
        <v>0</v>
      </c>
      <c r="T196" s="108">
        <f>SUM(T132,T158,T159,T153,T154,T23)</f>
        <v>0</v>
      </c>
      <c r="U196" s="105">
        <f t="shared" ref="U196:U197" si="2056">SUM(X196,V196)</f>
        <v>1113.4079999999999</v>
      </c>
      <c r="V196" s="106">
        <f>SUM(V132,V158,V159,V153,V154,V23)</f>
        <v>1113.4079999999999</v>
      </c>
      <c r="W196" s="107">
        <f>SUM(W132,W158,W159,W153,W154,W23)</f>
        <v>852.16499999999996</v>
      </c>
      <c r="X196" s="108">
        <f>SUM(X132,X158,X159,X153,X154,X23)</f>
        <v>0</v>
      </c>
      <c r="Y196" s="105">
        <f t="shared" ref="Y196:Y197" si="2057">SUM(AB196,Z196)</f>
        <v>9.0679999999999996</v>
      </c>
      <c r="Z196" s="106">
        <f>SUM(Z132,Z158,Z159,Z153,Z154,Z23)</f>
        <v>9.0679999999999996</v>
      </c>
      <c r="AA196" s="107">
        <f>SUM(AA132,AA158,AA159,AA153,AA154,AA23)</f>
        <v>0</v>
      </c>
      <c r="AB196" s="108">
        <f>SUM(AB132,AB158,AB159,AB153,AB154,AB23)</f>
        <v>0</v>
      </c>
      <c r="AC196" s="105">
        <f t="shared" ref="AC196:AC197" si="2058">SUM(AF196,AD196)</f>
        <v>0</v>
      </c>
      <c r="AD196" s="106">
        <f>SUM(AD132,AD158,AD159,AD153,AD154,AD23)</f>
        <v>0</v>
      </c>
      <c r="AE196" s="107">
        <f>SUM(AE132,AE158,AE159,AE153,AE154,AE23)</f>
        <v>0</v>
      </c>
      <c r="AF196" s="108">
        <f>SUM(AF132,AF158,AF159,AF153,AF154,AF23)</f>
        <v>0</v>
      </c>
      <c r="AG196" s="105">
        <f t="shared" ref="AG196:AG197" si="2059">SUM(AJ196,AH196)</f>
        <v>0</v>
      </c>
      <c r="AH196" s="106">
        <f>SUM(AH132,AH158,AH159,AH153,AH154,AH23)</f>
        <v>0</v>
      </c>
      <c r="AI196" s="107">
        <f>SUM(AI132,AI158,AI159,AI153,AI154,AI23)</f>
        <v>0</v>
      </c>
      <c r="AJ196" s="108">
        <f>SUM(AJ132,AJ158,AJ159,AJ153,AJ154,AJ23)</f>
        <v>0</v>
      </c>
      <c r="AK196" s="105">
        <f t="shared" ref="AK196:AK197" si="2060">SUM(AN196,AL196)</f>
        <v>1113.4079999999999</v>
      </c>
      <c r="AL196" s="106">
        <f>SUM(AL132,AL158,AL159,AL153,AL154,AL23)</f>
        <v>1113.4079999999999</v>
      </c>
      <c r="AM196" s="107">
        <f>SUM(AM132,AM158,AM159,AM153,AM154,AM23)</f>
        <v>852.16499999999996</v>
      </c>
      <c r="AN196" s="108">
        <f>SUM(AN132,AN158,AN159,AN153,AN154,AN23)</f>
        <v>0</v>
      </c>
      <c r="AO196" s="105">
        <f t="shared" ref="AO196:AO197" si="2061">SUM(AR196,AP196)</f>
        <v>9.0679999999999996</v>
      </c>
      <c r="AP196" s="106">
        <f>SUM(AP132,AP158,AP159,AP153,AP154,AP23)</f>
        <v>9.0679999999999996</v>
      </c>
      <c r="AQ196" s="107">
        <f>SUM(AQ132,AQ158,AQ159,AQ153,AQ154,AQ23)</f>
        <v>0</v>
      </c>
      <c r="AR196" s="108">
        <f>SUM(AR132,AR158,AR159,AR153,AR154,AR23)</f>
        <v>0</v>
      </c>
      <c r="AS196" s="105">
        <f t="shared" ref="AS196:AS197" si="2062">SUM(AV196,AT196)</f>
        <v>0</v>
      </c>
      <c r="AT196" s="106">
        <f>SUM(AT132,AT158,AT159,AT153,AT154,AT23)</f>
        <v>0</v>
      </c>
      <c r="AU196" s="107">
        <f>SUM(AU132,AU158,AU159,AU153,AU154,AU23)</f>
        <v>0</v>
      </c>
      <c r="AV196" s="108">
        <f>SUM(AV132,AV158,AV159,AV153,AV154,AV23)</f>
        <v>0</v>
      </c>
      <c r="AW196" s="105">
        <f t="shared" ref="AW196:AW197" si="2063">SUM(AZ196,AX196)</f>
        <v>0</v>
      </c>
      <c r="AX196" s="106">
        <f>SUM(AX132,AX158,AX159,AX153,AX154,AX23)</f>
        <v>0</v>
      </c>
      <c r="AY196" s="107">
        <f>SUM(AY132,AY158,AY159,AY153,AY154,AY23)</f>
        <v>0</v>
      </c>
      <c r="AZ196" s="108">
        <f>SUM(AZ132,AZ158,AZ159,AZ153,AZ154,AZ23)</f>
        <v>0</v>
      </c>
      <c r="BA196" s="105">
        <f t="shared" ref="BA196:BA197" si="2064">SUM(BD196,BB196)</f>
        <v>1113.4079999999999</v>
      </c>
      <c r="BB196" s="106">
        <f>SUM(BB132,BB158,BB159,BB153,BB154,BB23)</f>
        <v>1113.4079999999999</v>
      </c>
      <c r="BC196" s="107">
        <f>SUM(BC132,BC158,BC159,BC153,BC154,BC23)</f>
        <v>852.16499999999996</v>
      </c>
      <c r="BD196" s="108">
        <f>SUM(BD132,BD158,BD159,BD153,BD154,BD23)</f>
        <v>0</v>
      </c>
      <c r="BE196" s="105">
        <f t="shared" ref="BE196:BE197" si="2065">SUM(BH196,BF196)</f>
        <v>9.0679999999999996</v>
      </c>
      <c r="BF196" s="106">
        <f>SUM(BF132,BF158,BF159,BF153,BF154,BF23)</f>
        <v>9.0679999999999996</v>
      </c>
      <c r="BG196" s="107">
        <f>SUM(BG132,BG158,BG159,BG153,BG154,BG23)</f>
        <v>0</v>
      </c>
      <c r="BH196" s="108">
        <f>SUM(BH132,BH158,BH159,BH153,BH154,BH23)</f>
        <v>0</v>
      </c>
      <c r="BI196" s="105">
        <f t="shared" ref="BI196:BI197" si="2066">SUM(BL196,BJ196)</f>
        <v>-30.969000000000001</v>
      </c>
      <c r="BJ196" s="106">
        <f>SUM(BJ132,BJ158,BJ159,BJ153,BJ154,BJ23,BJ145)</f>
        <v>-30.969000000000001</v>
      </c>
      <c r="BK196" s="107">
        <f>SUM(BK132,BK158,BK159,BK153,BK154,BK23)</f>
        <v>-15.43</v>
      </c>
      <c r="BL196" s="108">
        <f>SUM(BL132,BL158,BL159,BL153,BL154,BL23)</f>
        <v>0</v>
      </c>
      <c r="BM196" s="105">
        <f t="shared" ref="BM196:BM197" si="2067">SUM(BP196,BN196)</f>
        <v>0</v>
      </c>
      <c r="BN196" s="106">
        <f>SUM(BN132,BN158,BN159,BN153,BN154,BN23)</f>
        <v>0</v>
      </c>
      <c r="BO196" s="107">
        <f>SUM(BO132,BO158,BO159,BO153,BO154,BO23)</f>
        <v>0</v>
      </c>
      <c r="BP196" s="108">
        <f>SUM(BP132,BP158,BP159,BP153,BP154,BP23)</f>
        <v>0</v>
      </c>
      <c r="BQ196" s="105">
        <f t="shared" ref="BQ196:BQ197" si="2068">SUM(BT196,BR196)</f>
        <v>1082.4390000000003</v>
      </c>
      <c r="BR196" s="106">
        <f>SUM(BR132,BR158,BR159,BR153,BR154,BR23,BR145)</f>
        <v>1082.4390000000003</v>
      </c>
      <c r="BS196" s="107">
        <f>SUM(BS132,BS158,BS159,BS153,BS154,BS23)</f>
        <v>836.73500000000001</v>
      </c>
      <c r="BT196" s="108">
        <f>SUM(BT132,BT158,BT159,BT153,BT154,BT23)</f>
        <v>0</v>
      </c>
      <c r="BU196" s="105">
        <f t="shared" ref="BU196:BU197" si="2069">SUM(BX196,BV196)</f>
        <v>9.0679999999999996</v>
      </c>
      <c r="BV196" s="106">
        <f>SUM(BV132,BV158,BV159,BV153,BV154,BV23)</f>
        <v>9.0679999999999996</v>
      </c>
      <c r="BW196" s="107">
        <f>SUM(BW132,BW158,BW159,BW153,BW154,BW23)</f>
        <v>0</v>
      </c>
      <c r="BX196" s="108">
        <f>SUM(BX132,BX158,BX159,BX153,BX154,BX23)</f>
        <v>0</v>
      </c>
      <c r="BY196" s="105">
        <f t="shared" ref="BY196:BY197" si="2070">SUM(CB196,BZ196)</f>
        <v>0</v>
      </c>
      <c r="BZ196" s="106">
        <f>SUM(BZ132,BZ158,BZ159,BZ153,BZ154,BZ23,BZ145)</f>
        <v>0</v>
      </c>
      <c r="CA196" s="107">
        <f>SUM(CA132,CA158,CA159,CA153,CA154,CA23)</f>
        <v>-0.53</v>
      </c>
      <c r="CB196" s="108">
        <f>SUM(CB132,CB158,CB159,CB153,CB154,CB23)</f>
        <v>0</v>
      </c>
      <c r="CC196" s="105">
        <f t="shared" ref="CC196:CC197" si="2071">SUM(CF196,CD196)</f>
        <v>0</v>
      </c>
      <c r="CD196" s="106">
        <f>SUM(CD132,CD158,CD159,CD153,CD154,CD23)</f>
        <v>0</v>
      </c>
      <c r="CE196" s="107">
        <f>SUM(CE132,CE158,CE159,CE153,CE154,CE23)</f>
        <v>0</v>
      </c>
      <c r="CF196" s="108">
        <f>SUM(CF132,CF158,CF159,CF153,CF154,CF23)</f>
        <v>0</v>
      </c>
      <c r="CG196" s="105">
        <f t="shared" ref="CG196:CG197" si="2072">SUM(CJ196,CH196)</f>
        <v>1082.4390000000003</v>
      </c>
      <c r="CH196" s="106">
        <f>SUM(CH132,CH158,CH159,CH153,CH154,CH23,CH145)</f>
        <v>1082.4390000000003</v>
      </c>
      <c r="CI196" s="107">
        <f>SUM(CI132,CI158,CI159,CI153,CI154,CI23)</f>
        <v>836.20500000000004</v>
      </c>
      <c r="CJ196" s="108">
        <f>SUM(CJ132,CJ158,CJ159,CJ153,CJ154,CJ23)</f>
        <v>0</v>
      </c>
      <c r="CK196" s="105">
        <f t="shared" ref="CK196:CK197" si="2073">SUM(CN196,CL196)</f>
        <v>9.0679999999999996</v>
      </c>
      <c r="CL196" s="106">
        <f>SUM(CL132,CL158,CL159,CL153,CL154,CL23)</f>
        <v>9.0679999999999996</v>
      </c>
      <c r="CM196" s="107">
        <f>SUM(CM132,CM158,CM159,CM153,CM154,CM23)</f>
        <v>0</v>
      </c>
      <c r="CN196" s="108">
        <f>SUM(CN132,CN158,CN159,CN153,CN154,CN23)</f>
        <v>0</v>
      </c>
      <c r="CO196" s="105">
        <f t="shared" ref="CO196:CO197" si="2074">SUM(CR196,CP196)</f>
        <v>0.8</v>
      </c>
      <c r="CP196" s="106">
        <f>SUM(CP132,CP158,CP159,CP153,CP154,CP23,CP145)</f>
        <v>0.8</v>
      </c>
      <c r="CQ196" s="107">
        <f>SUM(CQ132,CQ158,CQ159,CQ153,CQ154,CQ23)</f>
        <v>-0.6</v>
      </c>
      <c r="CR196" s="108">
        <f>SUM(CR132,CR158,CR159,CR153,CR154,CR23)</f>
        <v>0</v>
      </c>
      <c r="CS196" s="105">
        <f t="shared" ref="CS196:CS197" si="2075">SUM(CV196,CT196)</f>
        <v>0</v>
      </c>
      <c r="CT196" s="106">
        <f>SUM(CT132,CT158,CT159,CT153,CT154,CT23)</f>
        <v>0</v>
      </c>
      <c r="CU196" s="107">
        <f>SUM(CU132,CU158,CU159,CU153,CU154,CU23)</f>
        <v>0</v>
      </c>
      <c r="CV196" s="108">
        <f>SUM(CV132,CV158,CV159,CV153,CV154,CV23)</f>
        <v>0</v>
      </c>
      <c r="CW196" s="105">
        <f t="shared" ref="CW196:CW197" si="2076">SUM(CZ196,CX196)</f>
        <v>1083.2390000000003</v>
      </c>
      <c r="CX196" s="106">
        <f>SUM(CX132,CX158,CX159,CX153,CX154,CX23,CX145)</f>
        <v>1083.2390000000003</v>
      </c>
      <c r="CY196" s="107">
        <f>SUM(CY132,CY158,CY159,CY153,CY154,CY23)</f>
        <v>835.60500000000002</v>
      </c>
      <c r="CZ196" s="108">
        <f>SUM(CZ132,CZ158,CZ159,CZ153,CZ154,CZ23)</f>
        <v>0</v>
      </c>
      <c r="DA196" s="105">
        <f t="shared" ref="DA196:DA197" si="2077">SUM(DD196,DB196)</f>
        <v>9.0679999999999996</v>
      </c>
      <c r="DB196" s="106">
        <f>SUM(DB132,DB158,DB159,DB153,DB154,DB23)</f>
        <v>9.0679999999999996</v>
      </c>
      <c r="DC196" s="107">
        <f>SUM(DC132,DC158,DC159,DC153,DC154,DC23)</f>
        <v>0</v>
      </c>
      <c r="DD196" s="108">
        <f>SUM(DD132,DD158,DD159,DD153,DD154,DD23)</f>
        <v>0</v>
      </c>
      <c r="DE196" s="105">
        <f t="shared" ref="DE196:DE197" si="2078">SUM(DH196,DF196)</f>
        <v>0</v>
      </c>
      <c r="DF196" s="106">
        <f>SUM(DF132,DF158,DF159,DF153,DF154,DF23,DF145)</f>
        <v>0</v>
      </c>
      <c r="DG196" s="107">
        <f>SUM(DG132,DG158,DG159,DG153,DG154,DG23)</f>
        <v>0</v>
      </c>
      <c r="DH196" s="108">
        <f>SUM(DH132,DH158,DH159,DH153,DH154,DH23)</f>
        <v>0</v>
      </c>
      <c r="DI196" s="105">
        <f t="shared" ref="DI196:DI197" si="2079">SUM(DL196,DJ196)</f>
        <v>0</v>
      </c>
      <c r="DJ196" s="106">
        <f>SUM(DJ132,DJ158,DJ159,DJ153,DJ154,DJ23)</f>
        <v>0</v>
      </c>
      <c r="DK196" s="107">
        <f>SUM(DK132,DK158,DK159,DK153,DK154,DK23)</f>
        <v>0</v>
      </c>
      <c r="DL196" s="108">
        <f>SUM(DL132,DL158,DL159,DL153,DL154,DL23)</f>
        <v>0</v>
      </c>
      <c r="DM196" s="105">
        <f t="shared" ref="DM196:DM197" si="2080">SUM(DP196,DN196)</f>
        <v>1083.239</v>
      </c>
      <c r="DN196" s="106">
        <f>SUM(DN132,DN158,DN159,DN153,DN154,DN23,DN145)</f>
        <v>1083.239</v>
      </c>
      <c r="DO196" s="107">
        <f>SUM(DO132,DO158,DO159,DO153,DO154,DO23)</f>
        <v>835.60500000000002</v>
      </c>
      <c r="DP196" s="108">
        <f>SUM(DP132,DP158,DP159,DP153,DP154,DP23)</f>
        <v>0</v>
      </c>
      <c r="DQ196" s="105">
        <f t="shared" ref="DQ196:DQ197" si="2081">SUM(DT196,DR196)</f>
        <v>9.0679999999999996</v>
      </c>
      <c r="DR196" s="106">
        <f>SUM(DR132,DR158,DR159,DR153,DR154,DR23)</f>
        <v>9.0679999999999996</v>
      </c>
      <c r="DS196" s="107">
        <f>SUM(DS132,DS158,DS159,DS153,DS154,DS23)</f>
        <v>0</v>
      </c>
      <c r="DT196" s="108">
        <f>SUM(DT132,DT158,DT159,DT153,DT154,DT23)</f>
        <v>0</v>
      </c>
      <c r="DU196" s="105">
        <f t="shared" ref="DU196:DU197" si="2082">SUM(DX196,DV196)</f>
        <v>3.1999999999999993</v>
      </c>
      <c r="DV196" s="106">
        <f>SUM(DV132,DV158,DV159,DV153,DV154,DV23,DV145)</f>
        <v>-25.05</v>
      </c>
      <c r="DW196" s="107">
        <f>SUM(DW132,DW158,DW159,DW153,DW154,DW23)</f>
        <v>-29.6</v>
      </c>
      <c r="DX196" s="108">
        <f>SUM(DX132,DX158,DX159,DX153,DX154,DX23)</f>
        <v>28.25</v>
      </c>
      <c r="DY196" s="105">
        <f t="shared" ref="DY196:DY197" si="2083">SUM(EB196,DZ196)</f>
        <v>0</v>
      </c>
      <c r="DZ196" s="106">
        <f>SUM(DZ132,DZ158,DZ159,DZ153,DZ154,DZ23)</f>
        <v>0</v>
      </c>
      <c r="EA196" s="107">
        <f>SUM(EA132,EA158,EA159,EA153,EA154,EA23)</f>
        <v>0</v>
      </c>
      <c r="EB196" s="108">
        <f>SUM(EB132,EB158,EB159,EB153,EB154,EB23)</f>
        <v>0</v>
      </c>
      <c r="EC196" s="105">
        <f t="shared" ref="EC196:EC197" si="2084">SUM(EF196,ED196)</f>
        <v>1086.4390000000003</v>
      </c>
      <c r="ED196" s="106">
        <f>SUM(ED132,ED158,ED159,ED153,ED154,ED23,ED145)</f>
        <v>1058.1890000000003</v>
      </c>
      <c r="EE196" s="107">
        <f>SUM(EE132,EE158,EE159,EE153,EE154,EE23)</f>
        <v>806.00500000000011</v>
      </c>
      <c r="EF196" s="108">
        <f>SUM(EF132,EF158,EF159,EF153,EF154,EF23)</f>
        <v>28.25</v>
      </c>
      <c r="EG196" s="105">
        <f t="shared" ref="EG196:EG197" si="2085">SUM(EJ196,EH196)</f>
        <v>9.0679999999999996</v>
      </c>
      <c r="EH196" s="106">
        <f>SUM(EH132,EH158,EH159,EH153,EH154,EH23)</f>
        <v>9.0679999999999996</v>
      </c>
      <c r="EI196" s="107">
        <f>SUM(EI132,EI158,EI159,EI153,EI154,EI23)</f>
        <v>0</v>
      </c>
      <c r="EJ196" s="108">
        <f>SUM(EJ132,EJ158,EJ159,EJ153,EJ154,EJ23)</f>
        <v>0</v>
      </c>
      <c r="EK196" s="163">
        <f t="shared" si="1402"/>
        <v>99.613000000000056</v>
      </c>
      <c r="EL196" s="163">
        <f t="shared" si="1403"/>
        <v>126.58199999999965</v>
      </c>
      <c r="EM196" s="105">
        <f t="shared" ref="EM196:EM201" si="2086">SUM(EP196,EN196)</f>
        <v>1213.021</v>
      </c>
      <c r="EN196" s="106">
        <f>SUM(EN132,EN158,EN159,EN153,EN154,EN23,EN145)</f>
        <v>1209.021</v>
      </c>
      <c r="EO196" s="107">
        <f>SUM(EO132,EO158,EO159,EO153,EO154,EO23)</f>
        <v>911.4799999999999</v>
      </c>
      <c r="EP196" s="108">
        <f>SUM(EP132,EP158,EP159,EP153,EP154,EP23)</f>
        <v>4</v>
      </c>
      <c r="EQ196" s="105">
        <f t="shared" ref="EQ196:EQ197" si="2087">SUM(ET196,ER196)</f>
        <v>23.500999999999998</v>
      </c>
      <c r="ER196" s="106">
        <f>SUM(ER132,ER158,ER159,ER153,ER154,ER23)</f>
        <v>23.500999999999998</v>
      </c>
      <c r="ES196" s="107">
        <f>SUM(ES132,ES158,ES159,ES153,ES154,ES23)</f>
        <v>0</v>
      </c>
      <c r="ET196" s="108">
        <f>SUM(ET132,ET158,ET159,ET153,ET154,ET23)</f>
        <v>0</v>
      </c>
    </row>
    <row r="197" spans="1:150" ht="23.25" customHeight="1" x14ac:dyDescent="0.25">
      <c r="A197" s="18"/>
      <c r="B197" s="68" t="s">
        <v>116</v>
      </c>
      <c r="C197" s="706">
        <v>5</v>
      </c>
      <c r="D197" s="707"/>
      <c r="E197" s="105">
        <f t="shared" si="2052"/>
        <v>228.15</v>
      </c>
      <c r="F197" s="106">
        <f>SUM(F24,F133,F146,F114)</f>
        <v>148.15</v>
      </c>
      <c r="G197" s="107">
        <f>SUM(G24,G133)</f>
        <v>0</v>
      </c>
      <c r="H197" s="108">
        <f>SUM(H24,H133)</f>
        <v>80</v>
      </c>
      <c r="I197" s="105">
        <f t="shared" si="2053"/>
        <v>25.15</v>
      </c>
      <c r="J197" s="106">
        <f>SUM(J24,J133,J146,J114)</f>
        <v>25.15</v>
      </c>
      <c r="K197" s="107">
        <f>SUM(K24,K133)</f>
        <v>0</v>
      </c>
      <c r="L197" s="108">
        <f>SUM(L24,L133)</f>
        <v>0</v>
      </c>
      <c r="M197" s="105">
        <f t="shared" si="2054"/>
        <v>0</v>
      </c>
      <c r="N197" s="106">
        <f>SUM(N24,N133,N146,N114)</f>
        <v>0</v>
      </c>
      <c r="O197" s="107">
        <f>SUM(O24,O133)</f>
        <v>0</v>
      </c>
      <c r="P197" s="108">
        <f>SUM(P24,P133)</f>
        <v>0</v>
      </c>
      <c r="Q197" s="105">
        <f t="shared" si="2055"/>
        <v>0</v>
      </c>
      <c r="R197" s="106">
        <f>SUM(R24,R133,R146,R114)</f>
        <v>0</v>
      </c>
      <c r="S197" s="107">
        <f>SUM(S24,S133)</f>
        <v>0</v>
      </c>
      <c r="T197" s="108">
        <f>SUM(T24,T133)</f>
        <v>0</v>
      </c>
      <c r="U197" s="105">
        <f t="shared" si="2056"/>
        <v>228.15</v>
      </c>
      <c r="V197" s="106">
        <f>SUM(V24,V133,V146,V114)</f>
        <v>148.15</v>
      </c>
      <c r="W197" s="107">
        <f>SUM(W24,W133)</f>
        <v>0</v>
      </c>
      <c r="X197" s="108">
        <f>SUM(X24,X133)</f>
        <v>80</v>
      </c>
      <c r="Y197" s="105">
        <f t="shared" si="2057"/>
        <v>25.15</v>
      </c>
      <c r="Z197" s="106">
        <f>SUM(Z24,Z133,Z146,Z114)</f>
        <v>25.15</v>
      </c>
      <c r="AA197" s="107">
        <f>SUM(AA24,AA133)</f>
        <v>0</v>
      </c>
      <c r="AB197" s="108">
        <f>SUM(AB24,AB133)</f>
        <v>0</v>
      </c>
      <c r="AC197" s="105">
        <f t="shared" si="2058"/>
        <v>0</v>
      </c>
      <c r="AD197" s="106">
        <f>SUM(AD24,AD133,AD146,AD114)</f>
        <v>0</v>
      </c>
      <c r="AE197" s="107">
        <f>SUM(AE24,AE133)</f>
        <v>0</v>
      </c>
      <c r="AF197" s="108">
        <f>SUM(AF24,AF133)</f>
        <v>0</v>
      </c>
      <c r="AG197" s="105">
        <f t="shared" si="2059"/>
        <v>0</v>
      </c>
      <c r="AH197" s="106">
        <f>SUM(AH24,AH133,AH146,AH114)</f>
        <v>0</v>
      </c>
      <c r="AI197" s="107">
        <f>SUM(AI24,AI133)</f>
        <v>0</v>
      </c>
      <c r="AJ197" s="108">
        <f>SUM(AJ24,AJ133)</f>
        <v>0</v>
      </c>
      <c r="AK197" s="105">
        <f t="shared" si="2060"/>
        <v>228.15</v>
      </c>
      <c r="AL197" s="106">
        <f>SUM(AL24,AL133,AL146,AL114)</f>
        <v>148.15</v>
      </c>
      <c r="AM197" s="107">
        <f>SUM(AM24,AM133)</f>
        <v>0</v>
      </c>
      <c r="AN197" s="108">
        <f>SUM(AN24,AN133)</f>
        <v>80</v>
      </c>
      <c r="AO197" s="105">
        <f t="shared" si="2061"/>
        <v>25.15</v>
      </c>
      <c r="AP197" s="106">
        <f>SUM(AP24,AP133,AP146,AP114)</f>
        <v>25.15</v>
      </c>
      <c r="AQ197" s="107">
        <f>SUM(AQ24,AQ133)</f>
        <v>0</v>
      </c>
      <c r="AR197" s="108">
        <f>SUM(AR24,AR133)</f>
        <v>0</v>
      </c>
      <c r="AS197" s="105">
        <f t="shared" si="2062"/>
        <v>0</v>
      </c>
      <c r="AT197" s="106">
        <f>SUM(AT24,AT133,AT146,AT114)</f>
        <v>0</v>
      </c>
      <c r="AU197" s="107">
        <f>SUM(AU24,AU133)</f>
        <v>0</v>
      </c>
      <c r="AV197" s="108">
        <f>SUM(AV24,AV133)</f>
        <v>0</v>
      </c>
      <c r="AW197" s="105">
        <f t="shared" si="2063"/>
        <v>0</v>
      </c>
      <c r="AX197" s="106">
        <f>SUM(AX24,AX133,AX146,AX114)</f>
        <v>0</v>
      </c>
      <c r="AY197" s="107">
        <f>SUM(AY24,AY133)</f>
        <v>0</v>
      </c>
      <c r="AZ197" s="108">
        <f>SUM(AZ24,AZ133)</f>
        <v>0</v>
      </c>
      <c r="BA197" s="105">
        <f t="shared" si="2064"/>
        <v>228.15</v>
      </c>
      <c r="BB197" s="106">
        <f>SUM(BB24,BB133,BB146,BB114)</f>
        <v>148.15</v>
      </c>
      <c r="BC197" s="107">
        <f>SUM(BC24,BC133)</f>
        <v>0</v>
      </c>
      <c r="BD197" s="108">
        <f>SUM(BD24,BD133)</f>
        <v>80</v>
      </c>
      <c r="BE197" s="105">
        <f t="shared" si="2065"/>
        <v>25.15</v>
      </c>
      <c r="BF197" s="106">
        <f>SUM(BF24,BF133,BF146,BF114)</f>
        <v>25.15</v>
      </c>
      <c r="BG197" s="107">
        <f>SUM(BG24,BG133)</f>
        <v>0</v>
      </c>
      <c r="BH197" s="108">
        <f>SUM(BH24,BH133)</f>
        <v>0</v>
      </c>
      <c r="BI197" s="105">
        <f t="shared" si="2066"/>
        <v>0</v>
      </c>
      <c r="BJ197" s="106">
        <f>SUM(BJ24,BJ133,BJ146,BJ114)</f>
        <v>0</v>
      </c>
      <c r="BK197" s="107">
        <f>SUM(BK24,BK133)</f>
        <v>0</v>
      </c>
      <c r="BL197" s="108">
        <f>SUM(BL24,BL133)</f>
        <v>0</v>
      </c>
      <c r="BM197" s="105">
        <f t="shared" si="2067"/>
        <v>0</v>
      </c>
      <c r="BN197" s="106">
        <f>SUM(BN24,BN133,BN146,BN114)</f>
        <v>0</v>
      </c>
      <c r="BO197" s="107">
        <f>SUM(BO24,BO133)</f>
        <v>0</v>
      </c>
      <c r="BP197" s="108">
        <f>SUM(BP24,BP133)</f>
        <v>0</v>
      </c>
      <c r="BQ197" s="105">
        <f t="shared" si="2068"/>
        <v>228.15</v>
      </c>
      <c r="BR197" s="106">
        <f>SUM(BR24,BR133,BR146,BR114)</f>
        <v>148.15</v>
      </c>
      <c r="BS197" s="107">
        <f>SUM(BS24,BS133)</f>
        <v>0</v>
      </c>
      <c r="BT197" s="108">
        <f>SUM(BT24,BT133)</f>
        <v>80</v>
      </c>
      <c r="BU197" s="105">
        <f t="shared" si="2069"/>
        <v>25.15</v>
      </c>
      <c r="BV197" s="106">
        <f>SUM(BV24,BV133,BV146,BV114)</f>
        <v>25.15</v>
      </c>
      <c r="BW197" s="107">
        <f>SUM(BW24,BW133)</f>
        <v>0</v>
      </c>
      <c r="BX197" s="108">
        <f>SUM(BX24,BX133)</f>
        <v>0</v>
      </c>
      <c r="BY197" s="105">
        <f t="shared" si="2070"/>
        <v>0</v>
      </c>
      <c r="BZ197" s="106">
        <f>SUM(BZ24,BZ133,BZ146,BZ114)</f>
        <v>0</v>
      </c>
      <c r="CA197" s="107">
        <f>SUM(CA24,CA133)</f>
        <v>0</v>
      </c>
      <c r="CB197" s="108">
        <f>SUM(CB24,CB133)</f>
        <v>0</v>
      </c>
      <c r="CC197" s="105">
        <f t="shared" si="2071"/>
        <v>0</v>
      </c>
      <c r="CD197" s="106">
        <f>SUM(CD24,CD133,CD146,CD114)</f>
        <v>0</v>
      </c>
      <c r="CE197" s="107">
        <f>SUM(CE24,CE133)</f>
        <v>0</v>
      </c>
      <c r="CF197" s="108">
        <f>SUM(CF24,CF133)</f>
        <v>0</v>
      </c>
      <c r="CG197" s="105">
        <f t="shared" si="2072"/>
        <v>228.15</v>
      </c>
      <c r="CH197" s="106">
        <f>SUM(CH24,CH133,CH146,CH114)</f>
        <v>148.15</v>
      </c>
      <c r="CI197" s="107">
        <f>SUM(CI24,CI133)</f>
        <v>0</v>
      </c>
      <c r="CJ197" s="108">
        <f>SUM(CJ24,CJ133)</f>
        <v>80</v>
      </c>
      <c r="CK197" s="105">
        <f t="shared" si="2073"/>
        <v>25.15</v>
      </c>
      <c r="CL197" s="106">
        <f>SUM(CL24,CL133,CL146,CL114)</f>
        <v>25.15</v>
      </c>
      <c r="CM197" s="107">
        <f>SUM(CM24,CM133)</f>
        <v>0</v>
      </c>
      <c r="CN197" s="108">
        <f>SUM(CN24,CN133)</f>
        <v>0</v>
      </c>
      <c r="CO197" s="105">
        <f t="shared" si="2074"/>
        <v>0</v>
      </c>
      <c r="CP197" s="106">
        <f>SUM(CP24,CP133,CP146,CP114)</f>
        <v>0</v>
      </c>
      <c r="CQ197" s="107">
        <f>SUM(CQ24,CQ133)</f>
        <v>0</v>
      </c>
      <c r="CR197" s="108">
        <f>SUM(CR24,CR133)</f>
        <v>0</v>
      </c>
      <c r="CS197" s="105">
        <f t="shared" si="2075"/>
        <v>0</v>
      </c>
      <c r="CT197" s="106">
        <f>SUM(CT24,CT133,CT146,CT114)</f>
        <v>0</v>
      </c>
      <c r="CU197" s="107">
        <f>SUM(CU24,CU133)</f>
        <v>0</v>
      </c>
      <c r="CV197" s="108">
        <f>SUM(CV24,CV133)</f>
        <v>0</v>
      </c>
      <c r="CW197" s="105">
        <f t="shared" si="2076"/>
        <v>228.15</v>
      </c>
      <c r="CX197" s="106">
        <f>SUM(CX24,CX133,CX146,CX114)</f>
        <v>148.15</v>
      </c>
      <c r="CY197" s="107">
        <f>SUM(CY24,CY133)</f>
        <v>0</v>
      </c>
      <c r="CZ197" s="108">
        <f>SUM(CZ24,CZ133)</f>
        <v>80</v>
      </c>
      <c r="DA197" s="105">
        <f t="shared" si="2077"/>
        <v>25.15</v>
      </c>
      <c r="DB197" s="106">
        <f>SUM(DB24,DB133,DB146,DB114)</f>
        <v>25.15</v>
      </c>
      <c r="DC197" s="107">
        <f>SUM(DC24,DC133)</f>
        <v>0</v>
      </c>
      <c r="DD197" s="108">
        <f>SUM(DD24,DD133)</f>
        <v>0</v>
      </c>
      <c r="DE197" s="105">
        <f t="shared" si="2078"/>
        <v>0</v>
      </c>
      <c r="DF197" s="106">
        <f>SUM(DF24,DF133,DF146,DF114)</f>
        <v>0</v>
      </c>
      <c r="DG197" s="107">
        <f>SUM(DG24,DG133)</f>
        <v>0</v>
      </c>
      <c r="DH197" s="108">
        <f>SUM(DH24,DH133)</f>
        <v>0</v>
      </c>
      <c r="DI197" s="105">
        <f t="shared" si="2079"/>
        <v>0</v>
      </c>
      <c r="DJ197" s="106">
        <f>SUM(DJ24,DJ133,DJ146,DJ114)</f>
        <v>0</v>
      </c>
      <c r="DK197" s="107">
        <f>SUM(DK24,DK133)</f>
        <v>0</v>
      </c>
      <c r="DL197" s="108">
        <f>SUM(DL24,DL133)</f>
        <v>0</v>
      </c>
      <c r="DM197" s="105">
        <f t="shared" si="2080"/>
        <v>228.15</v>
      </c>
      <c r="DN197" s="106">
        <f>SUM(DN24,DN133,DN146,DN114)</f>
        <v>148.15</v>
      </c>
      <c r="DO197" s="107">
        <f>SUM(DO24,DO133)</f>
        <v>0</v>
      </c>
      <c r="DP197" s="108">
        <f>SUM(DP24,DP133)</f>
        <v>80</v>
      </c>
      <c r="DQ197" s="105">
        <f t="shared" si="2081"/>
        <v>25.15</v>
      </c>
      <c r="DR197" s="106">
        <f>SUM(DR24,DR133,DR146,DR114)</f>
        <v>25.15</v>
      </c>
      <c r="DS197" s="107">
        <f>SUM(DS24,DS133)</f>
        <v>0</v>
      </c>
      <c r="DT197" s="108">
        <f>SUM(DT24,DT133)</f>
        <v>0</v>
      </c>
      <c r="DU197" s="105">
        <f t="shared" si="2082"/>
        <v>0</v>
      </c>
      <c r="DV197" s="106">
        <f>SUM(DV24,DV133,DV146,DV114)</f>
        <v>0</v>
      </c>
      <c r="DW197" s="107">
        <f>SUM(DW24,DW133)</f>
        <v>0</v>
      </c>
      <c r="DX197" s="108">
        <f>SUM(DX24,DX133)</f>
        <v>0</v>
      </c>
      <c r="DY197" s="105">
        <f t="shared" si="2083"/>
        <v>0</v>
      </c>
      <c r="DZ197" s="106">
        <f>SUM(DZ24,DZ133,DZ146,DZ114)</f>
        <v>0</v>
      </c>
      <c r="EA197" s="107">
        <f>SUM(EA24,EA133)</f>
        <v>0</v>
      </c>
      <c r="EB197" s="108">
        <f>SUM(EB24,EB133)</f>
        <v>0</v>
      </c>
      <c r="EC197" s="105">
        <f t="shared" si="2084"/>
        <v>228.15</v>
      </c>
      <c r="ED197" s="106">
        <f>SUM(ED24,ED133,ED146,ED114)</f>
        <v>148.15</v>
      </c>
      <c r="EE197" s="107">
        <f>SUM(EE24,EE133)</f>
        <v>0</v>
      </c>
      <c r="EF197" s="108">
        <f>SUM(EF24,EF133)</f>
        <v>80</v>
      </c>
      <c r="EG197" s="105">
        <f t="shared" si="2085"/>
        <v>25.15</v>
      </c>
      <c r="EH197" s="106">
        <f>SUM(EH24,EH133,EH146,EH114)</f>
        <v>25.15</v>
      </c>
      <c r="EI197" s="107">
        <f>SUM(EI24,EI133)</f>
        <v>0</v>
      </c>
      <c r="EJ197" s="108">
        <f>SUM(EJ24,EJ133)</f>
        <v>0</v>
      </c>
      <c r="EK197" s="154">
        <f t="shared" si="1402"/>
        <v>-12.960999999999984</v>
      </c>
      <c r="EL197" s="154">
        <f t="shared" si="1403"/>
        <v>-12.960999999999984</v>
      </c>
      <c r="EM197" s="105">
        <f t="shared" si="2086"/>
        <v>215.18900000000002</v>
      </c>
      <c r="EN197" s="106">
        <f>SUM(EN24,EN133,EN146,EN114)</f>
        <v>143.38900000000001</v>
      </c>
      <c r="EO197" s="107">
        <f>SUM(EO24,EO133)</f>
        <v>0</v>
      </c>
      <c r="EP197" s="108">
        <f>SUM(EP24,EP133)</f>
        <v>71.8</v>
      </c>
      <c r="EQ197" s="105">
        <f t="shared" si="2087"/>
        <v>18.289000000000001</v>
      </c>
      <c r="ER197" s="106">
        <f>SUM(ER24,ER133,ER146,ER114)</f>
        <v>18.289000000000001</v>
      </c>
      <c r="ES197" s="107">
        <f>SUM(ES24,ES133)</f>
        <v>0</v>
      </c>
      <c r="ET197" s="108">
        <f>SUM(ET24,ET133)</f>
        <v>0</v>
      </c>
    </row>
    <row r="198" spans="1:150" ht="21.75" customHeight="1" x14ac:dyDescent="0.25">
      <c r="A198" s="18"/>
      <c r="B198" s="68" t="s">
        <v>45</v>
      </c>
      <c r="C198" s="706">
        <v>6</v>
      </c>
      <c r="D198" s="707"/>
      <c r="E198" s="105">
        <f>SUM(H198,F198)</f>
        <v>3069.5509999999999</v>
      </c>
      <c r="F198" s="106">
        <f>SUM(F174,F173,F166,F165,F134,F25,F115,F147)</f>
        <v>2418.627</v>
      </c>
      <c r="G198" s="107">
        <f>SUM(G174,G173,G166,G165,G134,G25,G115,G146)</f>
        <v>624.07999999999993</v>
      </c>
      <c r="H198" s="108">
        <f>SUM(H174,H173,H166,H165,H134,H25,H115,H146)</f>
        <v>650.92399999999998</v>
      </c>
      <c r="I198" s="105">
        <f>SUM(L198,J198)</f>
        <v>369.87599999999998</v>
      </c>
      <c r="J198" s="106">
        <f>SUM(J174,J173,J166,J165,J134,J25,J115,J147)</f>
        <v>75.077000000000012</v>
      </c>
      <c r="K198" s="107">
        <f>SUM(K174,K173,K166,K165,K134,K25,K115,K146)</f>
        <v>0</v>
      </c>
      <c r="L198" s="108">
        <f>SUM(L174,L173,L166,L165,L134,L25,L115,L146)</f>
        <v>294.79899999999998</v>
      </c>
      <c r="M198" s="105">
        <f>SUM(P198,N198)</f>
        <v>0</v>
      </c>
      <c r="N198" s="106">
        <f>SUM(N174,N173,N166,N165,N134,N25,N115,N147)</f>
        <v>1</v>
      </c>
      <c r="O198" s="107">
        <f>SUM(O174,O173,O166,O165,O134,O25,O115,O146)</f>
        <v>0</v>
      </c>
      <c r="P198" s="108">
        <f>SUM(P174,P173,P166,P165,P134,P25,P115,P146)</f>
        <v>-1</v>
      </c>
      <c r="Q198" s="105">
        <f>SUM(T198,R198)</f>
        <v>0</v>
      </c>
      <c r="R198" s="106">
        <f>SUM(R174,R173,R166,R165,R134,R25,R115,R147)</f>
        <v>1</v>
      </c>
      <c r="S198" s="107">
        <f>SUM(S174,S173,S166,S165,S134,S25,S115,S146)</f>
        <v>0</v>
      </c>
      <c r="T198" s="108">
        <f>SUM(T174,T173,T166,T165,T134,T25,T115,T146)</f>
        <v>-1</v>
      </c>
      <c r="U198" s="105">
        <f>SUM(X198,V198)</f>
        <v>3069.5509999999999</v>
      </c>
      <c r="V198" s="106">
        <f>SUM(V174,V173,V166,V165,V134,V25,V115,V147)</f>
        <v>2419.627</v>
      </c>
      <c r="W198" s="107">
        <f>SUM(W174,W173,W166,W165,W134,W25,W115,W146)</f>
        <v>624.07999999999993</v>
      </c>
      <c r="X198" s="108">
        <f>SUM(X174,X173,X166,X165,X134,X25,X115,X146)</f>
        <v>649.92399999999998</v>
      </c>
      <c r="Y198" s="105">
        <f>SUM(AB198,Z198)</f>
        <v>369.87599999999998</v>
      </c>
      <c r="Z198" s="106">
        <f>SUM(Z174,Z173,Z166,Z165,Z134,Z25,Z115,Z147)</f>
        <v>76.077000000000012</v>
      </c>
      <c r="AA198" s="107">
        <f>SUM(AA174,AA173,AA166,AA165,AA134,AA25,AA115,AA146)</f>
        <v>0</v>
      </c>
      <c r="AB198" s="108">
        <f>SUM(AB174,AB173,AB166,AB165,AB134,AB25,AB115,AB146)</f>
        <v>293.79899999999998</v>
      </c>
      <c r="AC198" s="105">
        <f>SUM(AF198,AD198)</f>
        <v>0</v>
      </c>
      <c r="AD198" s="106">
        <f>SUM(AD174,AD173,AD166,AD165,AD134,AD25,AD115,AD147)</f>
        <v>0</v>
      </c>
      <c r="AE198" s="107">
        <f>SUM(AE174,AE173,AE166,AE165,AE134,AE25,AE115,AE146)</f>
        <v>-1</v>
      </c>
      <c r="AF198" s="108">
        <f>SUM(AF174,AF173,AF166,AF165,AF134,AF25,AF115,AF146)</f>
        <v>0</v>
      </c>
      <c r="AG198" s="105">
        <f>SUM(AJ198,AH198)</f>
        <v>0</v>
      </c>
      <c r="AH198" s="106">
        <f>SUM(AH174,AH173,AH166,AH165,AH134,AH25,AH115,AH147)</f>
        <v>0</v>
      </c>
      <c r="AI198" s="107">
        <f>SUM(AI174,AI173,AI166,AI165,AI134,AI25,AI115,AI146)</f>
        <v>0</v>
      </c>
      <c r="AJ198" s="108">
        <f>SUM(AJ174,AJ173,AJ166,AJ165,AJ134,AJ25,AJ115,AJ146)</f>
        <v>0</v>
      </c>
      <c r="AK198" s="105">
        <f>SUM(AN198,AL198)</f>
        <v>3069.5509999999995</v>
      </c>
      <c r="AL198" s="106">
        <f>SUM(AL174,AL173,AL166,AL165,AL134,AL25,AL115,AL147)</f>
        <v>2419.6269999999995</v>
      </c>
      <c r="AM198" s="107">
        <f>SUM(AM174,AM173,AM166,AM165,AM134,AM25,AM115,AM146)</f>
        <v>623.07999999999993</v>
      </c>
      <c r="AN198" s="108">
        <f>SUM(AN174,AN173,AN166,AN165,AN134,AN25,AN115,AN146)</f>
        <v>649.92399999999998</v>
      </c>
      <c r="AO198" s="105">
        <f>SUM(AR198,AP198)</f>
        <v>369.87599999999998</v>
      </c>
      <c r="AP198" s="106">
        <f>SUM(AP174,AP173,AP166,AP165,AP134,AP25,AP115,AP147)</f>
        <v>76.077000000000012</v>
      </c>
      <c r="AQ198" s="107">
        <f>SUM(AQ174,AQ173,AQ166,AQ165,AQ134,AQ25,AQ115,AQ146)</f>
        <v>0</v>
      </c>
      <c r="AR198" s="108">
        <f>SUM(AR174,AR173,AR166,AR165,AR134,AR25,AR115,AR146)</f>
        <v>293.79899999999998</v>
      </c>
      <c r="AS198" s="105">
        <f>SUM(AV198,AT198)</f>
        <v>0</v>
      </c>
      <c r="AT198" s="106">
        <f>SUM(AT174,AT173,AT166,AT165,AT134,AT25,AT115,AT147)</f>
        <v>0</v>
      </c>
      <c r="AU198" s="107">
        <f>SUM(AU174,AU173,AU166,AU165,AU134,AU25,AU115,AU146)</f>
        <v>0</v>
      </c>
      <c r="AV198" s="108">
        <f>SUM(AV174,AV173,AV166,AV165,AV134,AV25,AV115,AV146)</f>
        <v>0</v>
      </c>
      <c r="AW198" s="105">
        <f>SUM(AZ198,AX198)</f>
        <v>0</v>
      </c>
      <c r="AX198" s="106">
        <f>SUM(AX174,AX173,AX166,AX165,AX134,AX25,AX115,AX147)</f>
        <v>0</v>
      </c>
      <c r="AY198" s="107">
        <f>SUM(AY174,AY173,AY166,AY165,AY134,AY25,AY115,AY146)</f>
        <v>0</v>
      </c>
      <c r="AZ198" s="108">
        <f>SUM(AZ174,AZ173,AZ166,AZ165,AZ134,AZ25,AZ115,AZ146)</f>
        <v>0</v>
      </c>
      <c r="BA198" s="105">
        <f>SUM(BD198,BB198)</f>
        <v>3069.5509999999995</v>
      </c>
      <c r="BB198" s="106">
        <f>SUM(BB174,BB173,BB166,BB165,BB134,BB25,BB115,BB147)</f>
        <v>2419.6269999999995</v>
      </c>
      <c r="BC198" s="107">
        <f>SUM(BC174,BC173,BC166,BC165,BC134,BC25,BC115,BC146)</f>
        <v>623.07999999999993</v>
      </c>
      <c r="BD198" s="108">
        <f>SUM(BD174,BD173,BD166,BD165,BD134,BD25,BD115,BD146)</f>
        <v>649.92399999999998</v>
      </c>
      <c r="BE198" s="105">
        <f>SUM(BH198,BF198)</f>
        <v>369.87599999999998</v>
      </c>
      <c r="BF198" s="106">
        <f>SUM(BF174,BF173,BF166,BF165,BF134,BF25,BF115,BF147)</f>
        <v>76.077000000000012</v>
      </c>
      <c r="BG198" s="107">
        <f>SUM(BG174,BG173,BG166,BG165,BG134,BG25,BG115,BG146)</f>
        <v>0</v>
      </c>
      <c r="BH198" s="108">
        <f>SUM(BH174,BH173,BH166,BH165,BH134,BH25,BH115,BH146)</f>
        <v>293.79899999999998</v>
      </c>
      <c r="BI198" s="105">
        <f>SUM(BL198,BJ198)</f>
        <v>31.121000000000002</v>
      </c>
      <c r="BJ198" s="106">
        <f>SUM(BJ174,BJ173,BJ166,BJ165,BJ134,BJ25,BJ115,BJ147)</f>
        <v>31.121000000000002</v>
      </c>
      <c r="BK198" s="107">
        <f>SUM(BK174,BK173,BK166,BK165,BK134,BK25,BK115,BK146)</f>
        <v>15.58</v>
      </c>
      <c r="BL198" s="108">
        <f>SUM(BL174,BL173,BL166,BL165,BL134,BL25,BL115,BL146)</f>
        <v>0</v>
      </c>
      <c r="BM198" s="105">
        <f>SUM(BP198,BN198)</f>
        <v>0</v>
      </c>
      <c r="BN198" s="106">
        <f>SUM(BN174,BN173,BN166,BN165,BN134,BN25,BN115,BN147)</f>
        <v>0</v>
      </c>
      <c r="BO198" s="107">
        <f>SUM(BO174,BO173,BO166,BO165,BO134,BO25,BO115,BO146)</f>
        <v>0</v>
      </c>
      <c r="BP198" s="108">
        <f>SUM(BP174,BP173,BP166,BP165,BP134,BP25,BP115,BP146)</f>
        <v>0</v>
      </c>
      <c r="BQ198" s="105">
        <f>SUM(BT198,BR198)</f>
        <v>3100.672</v>
      </c>
      <c r="BR198" s="106">
        <f>SUM(BR174,BR173,BR166,BR165,BR134,BR25,BR115,BR147)</f>
        <v>2450.748</v>
      </c>
      <c r="BS198" s="107">
        <f>SUM(BS174,BS173,BS166,BS165,BS134,BS25,BS115,BS146)</f>
        <v>638.66</v>
      </c>
      <c r="BT198" s="108">
        <f>SUM(BT174,BT173,BT166,BT165,BT134,BT25,BT115,BT146)</f>
        <v>649.92399999999998</v>
      </c>
      <c r="BU198" s="105">
        <f>SUM(BX198,BV198)</f>
        <v>369.87599999999998</v>
      </c>
      <c r="BV198" s="106">
        <f>SUM(BV174,BV173,BV166,BV165,BV134,BV25,BV115,BV147)</f>
        <v>76.077000000000012</v>
      </c>
      <c r="BW198" s="107">
        <f>SUM(BW174,BW173,BW166,BW165,BW134,BW25,BW115,BW146)</f>
        <v>0</v>
      </c>
      <c r="BX198" s="108">
        <f>SUM(BX174,BX173,BX166,BX165,BX134,BX25,BX115,BX146)</f>
        <v>293.79899999999998</v>
      </c>
      <c r="BY198" s="105">
        <f>SUM(CB198,BZ198)</f>
        <v>1.3</v>
      </c>
      <c r="BZ198" s="106">
        <f>SUM(BZ174,BZ173,BZ166,BZ165,BZ134,BZ25,BZ115,BZ147)</f>
        <v>1.55</v>
      </c>
      <c r="CA198" s="107">
        <f>SUM(CA174,CA173,CA166,CA165,CA134,CA25,CA115,CA146)</f>
        <v>-1.6</v>
      </c>
      <c r="CB198" s="108">
        <f>SUM(CB174,CB173,CB166,CB165,CB134,CB25,CB115,CB146)</f>
        <v>-0.25</v>
      </c>
      <c r="CC198" s="105">
        <f>SUM(CF198,CD198)</f>
        <v>0</v>
      </c>
      <c r="CD198" s="106">
        <f>SUM(CD174,CD173,CD166,CD165,CD134,CD25,CD115,CD147)</f>
        <v>0.25</v>
      </c>
      <c r="CE198" s="107">
        <f>SUM(CE174,CE173,CE166,CE165,CE134,CE25,CE115,CE146)</f>
        <v>0</v>
      </c>
      <c r="CF198" s="108">
        <f>SUM(CF174,CF173,CF166,CF165,CF134,CF25,CF115,CF146)</f>
        <v>-0.25</v>
      </c>
      <c r="CG198" s="105">
        <f>SUM(CJ198,CH198)</f>
        <v>3101.9719999999998</v>
      </c>
      <c r="CH198" s="106">
        <f>SUM(CH174,CH173,CH166,CH165,CH134,CH25,CH115,CH147)</f>
        <v>2452.2979999999998</v>
      </c>
      <c r="CI198" s="107">
        <f>SUM(CI174,CI173,CI166,CI165,CI134,CI25,CI115,CI146)</f>
        <v>637.05999999999995</v>
      </c>
      <c r="CJ198" s="108">
        <f>SUM(CJ174,CJ173,CJ166,CJ165,CJ134,CJ25,CJ115,CJ146)</f>
        <v>649.67399999999998</v>
      </c>
      <c r="CK198" s="105">
        <f>SUM(CN198,CL198)</f>
        <v>369.87599999999998</v>
      </c>
      <c r="CL198" s="106">
        <f>SUM(CL174,CL173,CL166,CL165,CL134,CL25,CL115,CL147)</f>
        <v>76.327000000000012</v>
      </c>
      <c r="CM198" s="107">
        <f>SUM(CM174,CM173,CM166,CM165,CM134,CM25,CM115,CM146)</f>
        <v>0</v>
      </c>
      <c r="CN198" s="108">
        <f>SUM(CN174,CN173,CN166,CN165,CN134,CN25,CN115,CN146)</f>
        <v>293.54899999999998</v>
      </c>
      <c r="CO198" s="105">
        <f>SUM(CR198,CP198)</f>
        <v>0</v>
      </c>
      <c r="CP198" s="106">
        <f>SUM(CP174,CP173,CP166,CP165,CP134,CP25,CP115,CP147)</f>
        <v>5.9020000000000001</v>
      </c>
      <c r="CQ198" s="107">
        <f>SUM(CQ174,CQ173,CQ166,CQ165,CQ134,CQ25,CQ115,CQ146)</f>
        <v>0</v>
      </c>
      <c r="CR198" s="108">
        <f>SUM(CR174,CR173,CR166,CR165,CR134,CR25,CR115,CR146)</f>
        <v>-5.9020000000000001</v>
      </c>
      <c r="CS198" s="105">
        <f>SUM(CV198,CT198)</f>
        <v>0</v>
      </c>
      <c r="CT198" s="106">
        <f>SUM(CT174,CT173,CT166,CT165,CT134,CT25,CT115,CT147)</f>
        <v>0.24</v>
      </c>
      <c r="CU198" s="107">
        <f>SUM(CU174,CU173,CU166,CU165,CU134,CU25,CU115,CU146)</f>
        <v>0</v>
      </c>
      <c r="CV198" s="108">
        <f>SUM(CV174,CV173,CV166,CV165,CV134,CV25,CV115,CV146)</f>
        <v>-0.24</v>
      </c>
      <c r="CW198" s="105">
        <f>SUM(CZ198,CX198)</f>
        <v>3101.9719999999998</v>
      </c>
      <c r="CX198" s="106">
        <f>SUM(CX174,CX173,CX166,CX165,CX134,CX25,CX115,CX147)</f>
        <v>2458.1999999999998</v>
      </c>
      <c r="CY198" s="107">
        <f>SUM(CY174,CY173,CY166,CY165,CY134,CY25,CY115,CY146)</f>
        <v>637.05999999999995</v>
      </c>
      <c r="CZ198" s="108">
        <f>SUM(CZ174,CZ173,CZ166,CZ165,CZ134,CZ25,CZ115,CZ146)</f>
        <v>643.77199999999993</v>
      </c>
      <c r="DA198" s="105">
        <f>SUM(DD198,DB198)</f>
        <v>369.87599999999998</v>
      </c>
      <c r="DB198" s="106">
        <f>SUM(DB174,DB173,DB166,DB165,DB134,DB25,DB115,DB147)</f>
        <v>76.567000000000007</v>
      </c>
      <c r="DC198" s="107">
        <f>SUM(DC174,DC173,DC166,DC165,DC134,DC25,DC115,DC146)</f>
        <v>0</v>
      </c>
      <c r="DD198" s="108">
        <f>SUM(DD174,DD173,DD166,DD165,DD134,DD25,DD115,DD146)</f>
        <v>293.30899999999997</v>
      </c>
      <c r="DE198" s="105">
        <f>SUM(DH198,DF198)</f>
        <v>19.400000000000002</v>
      </c>
      <c r="DF198" s="106">
        <f>SUM(DF174,DF173,DF166,DF165,DF134,DF25,DF115,DF147)</f>
        <v>7.9000000000000021</v>
      </c>
      <c r="DG198" s="107">
        <f>SUM(DG174,DG173,DG166,DG165,DG134,DG25,DG115,DG146)</f>
        <v>15.390000000000002</v>
      </c>
      <c r="DH198" s="108">
        <f>SUM(DH174,DH173,DH166,DH165,DH134,DH25,DH115,DH146)</f>
        <v>11.5</v>
      </c>
      <c r="DI198" s="105">
        <f>SUM(DL198,DJ198)</f>
        <v>0</v>
      </c>
      <c r="DJ198" s="106">
        <f>SUM(DJ174,DJ173,DJ166,DJ165,DJ134,DJ25,DJ115,DJ147)</f>
        <v>0</v>
      </c>
      <c r="DK198" s="107">
        <f>SUM(DK174,DK173,DK166,DK165,DK134,DK25,DK115,DK146)</f>
        <v>0</v>
      </c>
      <c r="DL198" s="108">
        <f>SUM(DL174,DL173,DL166,DL165,DL134,DL25,DL115,DL146)</f>
        <v>0</v>
      </c>
      <c r="DM198" s="105">
        <f>SUM(DP198,DN198)</f>
        <v>3121.3719999999998</v>
      </c>
      <c r="DN198" s="106">
        <f>SUM(DN174,DN173,DN166,DN165,DN134,DN25,DN115,DN147)</f>
        <v>2466.1</v>
      </c>
      <c r="DO198" s="107">
        <f>SUM(DO174,DO173,DO166,DO165,DO134,DO25,DO115,DO146)</f>
        <v>652.44999999999993</v>
      </c>
      <c r="DP198" s="108">
        <f>SUM(DP174,DP173,DP166,DP165,DP134,DP25,DP115,DP146)</f>
        <v>655.27199999999993</v>
      </c>
      <c r="DQ198" s="105">
        <f>SUM(DT198,DR198)</f>
        <v>369.87599999999998</v>
      </c>
      <c r="DR198" s="106">
        <f>SUM(DR174,DR173,DR166,DR165,DR134,DR25,DR115,DR147)</f>
        <v>76.567000000000007</v>
      </c>
      <c r="DS198" s="107">
        <f>SUM(DS174,DS173,DS166,DS165,DS134,DS25,DS115,DS146)</f>
        <v>0</v>
      </c>
      <c r="DT198" s="108">
        <f>SUM(DT174,DT173,DT166,DT165,DT134,DT25,DT115,DT146)</f>
        <v>293.30899999999997</v>
      </c>
      <c r="DU198" s="105">
        <f>SUM(DX198,DV198)</f>
        <v>-5.0789999999999988</v>
      </c>
      <c r="DV198" s="106">
        <f>SUM(DV174,DV173,DV166,DV165,DV134,DV25,DV115,DV147)</f>
        <v>-8.0789999999999988</v>
      </c>
      <c r="DW198" s="107">
        <f>SUM(DW174,DW173,DW166,DW165,DW134,DW25,DW115,DW146)</f>
        <v>-3</v>
      </c>
      <c r="DX198" s="108">
        <f>SUM(DX174,DX173,DX166,DX165,DX134,DX25,DX115,DX146)</f>
        <v>3</v>
      </c>
      <c r="DY198" s="105">
        <f>SUM(EB198,DZ198)</f>
        <v>0</v>
      </c>
      <c r="DZ198" s="106">
        <f>SUM(DZ174,DZ173,DZ166,DZ165,DZ134,DZ25,DZ115,DZ147)</f>
        <v>0</v>
      </c>
      <c r="EA198" s="107">
        <f>SUM(EA174,EA173,EA166,EA165,EA134,EA25,EA115,EA146)</f>
        <v>0</v>
      </c>
      <c r="EB198" s="108">
        <f>SUM(EB174,EB173,EB166,EB165,EB134,EB25,EB115,EB146)</f>
        <v>0</v>
      </c>
      <c r="EC198" s="105">
        <f>SUM(EF198,ED198)</f>
        <v>3116.2929999999992</v>
      </c>
      <c r="ED198" s="106">
        <f>SUM(ED174,ED173,ED166,ED165,ED134,ED25,ED115,ED147)</f>
        <v>2458.0209999999993</v>
      </c>
      <c r="EE198" s="107">
        <f>SUM(EE174,EE173,EE166,EE165,EE134,EE25,EE115,EE146)</f>
        <v>649.44999999999993</v>
      </c>
      <c r="EF198" s="108">
        <f>SUM(EF174,EF173,EF166,EF165,EF134,EF25,EF115,EF146)</f>
        <v>658.27199999999993</v>
      </c>
      <c r="EG198" s="105">
        <f>SUM(EJ198,EH198)</f>
        <v>369.87599999999998</v>
      </c>
      <c r="EH198" s="106">
        <f>SUM(EH174,EH173,EH166,EH165,EH134,EH25,EH115,EH147)</f>
        <v>76.567000000000007</v>
      </c>
      <c r="EI198" s="107">
        <f>SUM(EI174,EI173,EI166,EI165,EI134,EI25,EI115,EI146)</f>
        <v>0</v>
      </c>
      <c r="EJ198" s="108">
        <f>SUM(EJ174,EJ173,EJ166,EJ165,EJ134,EJ25,EJ115,EJ146)</f>
        <v>293.30899999999997</v>
      </c>
      <c r="EK198" s="163">
        <f t="shared" si="1402"/>
        <v>212.35500000000002</v>
      </c>
      <c r="EL198" s="163">
        <f t="shared" si="1403"/>
        <v>165.61300000000074</v>
      </c>
      <c r="EM198" s="105">
        <f>SUM(EP198,EN198)</f>
        <v>3281.9059999999999</v>
      </c>
      <c r="EN198" s="106">
        <f>SUM(EN174,EN173,EN166,EN165,EN134,EN25,EN115,EN147)</f>
        <v>2292.4059999999999</v>
      </c>
      <c r="EO198" s="107">
        <f>SUM(EO174,EO173,EO166,EO165,EO134,EO25,EO115,EO146)</f>
        <v>789.72</v>
      </c>
      <c r="EP198" s="108">
        <f>SUM(EP174,EP173,EP166,EP165,EP134,EP25,EP115,EP146)</f>
        <v>989.50000000000011</v>
      </c>
      <c r="EQ198" s="105">
        <f>SUM(ET198,ER198)</f>
        <v>654.59700000000009</v>
      </c>
      <c r="ER198" s="106">
        <f>SUM(ER174,ER173,ER166,ER165,ER134,ER25,ER115,ER147)</f>
        <v>56.475999999999999</v>
      </c>
      <c r="ES198" s="107">
        <f>SUM(ES174,ES173,ES166,ES165,ES134,ES25,ES115,ES146)</f>
        <v>0</v>
      </c>
      <c r="ET198" s="108">
        <f>SUM(ET174,ET173,ET166,ET165,ET134,ET25,ET115,ET146)</f>
        <v>598.12100000000009</v>
      </c>
    </row>
    <row r="199" spans="1:150" ht="22.5" customHeight="1" x14ac:dyDescent="0.25">
      <c r="A199" s="18"/>
      <c r="B199" s="68" t="s">
        <v>46</v>
      </c>
      <c r="C199" s="706">
        <v>7</v>
      </c>
      <c r="D199" s="707"/>
      <c r="E199" s="105">
        <f t="shared" si="2052"/>
        <v>66.457999999999998</v>
      </c>
      <c r="F199" s="106">
        <f>SUM(F26,F167)</f>
        <v>6.4580000000000002</v>
      </c>
      <c r="G199" s="107">
        <f>SUM(G26,G167)</f>
        <v>0.49</v>
      </c>
      <c r="H199" s="108">
        <f>SUM(H26,H167)</f>
        <v>60</v>
      </c>
      <c r="I199" s="105">
        <f t="shared" ref="I199:I201" si="2088">SUM(L199,J199)</f>
        <v>3.4580000000000002</v>
      </c>
      <c r="J199" s="106">
        <f>SUM(J26,J167)</f>
        <v>3.4580000000000002</v>
      </c>
      <c r="K199" s="107">
        <f>SUM(K26,K167)</f>
        <v>0</v>
      </c>
      <c r="L199" s="108">
        <f>SUM(L26,L167)</f>
        <v>0</v>
      </c>
      <c r="M199" s="105">
        <f t="shared" ref="M199:M201" si="2089">SUM(P199,N199)</f>
        <v>0</v>
      </c>
      <c r="N199" s="106">
        <f>SUM(N26,N167)</f>
        <v>0</v>
      </c>
      <c r="O199" s="107">
        <f>SUM(O26,O167)</f>
        <v>0</v>
      </c>
      <c r="P199" s="108">
        <f>SUM(P26,P167)</f>
        <v>0</v>
      </c>
      <c r="Q199" s="105">
        <f t="shared" ref="Q199:Q201" si="2090">SUM(T199,R199)</f>
        <v>0</v>
      </c>
      <c r="R199" s="106">
        <f>SUM(R26,R167)</f>
        <v>0</v>
      </c>
      <c r="S199" s="107">
        <f>SUM(S26,S167)</f>
        <v>0</v>
      </c>
      <c r="T199" s="108">
        <f>SUM(T26,T167)</f>
        <v>0</v>
      </c>
      <c r="U199" s="105">
        <f t="shared" ref="U199:U201" si="2091">SUM(X199,V199)</f>
        <v>66.457999999999998</v>
      </c>
      <c r="V199" s="106">
        <f>SUM(V26,V167)</f>
        <v>6.4580000000000002</v>
      </c>
      <c r="W199" s="107">
        <f>SUM(W26,W167)</f>
        <v>0.49</v>
      </c>
      <c r="X199" s="108">
        <f>SUM(X26,X167)</f>
        <v>60</v>
      </c>
      <c r="Y199" s="105">
        <f t="shared" ref="Y199:Y201" si="2092">SUM(AB199,Z199)</f>
        <v>3.4580000000000002</v>
      </c>
      <c r="Z199" s="106">
        <f>SUM(Z26,Z167)</f>
        <v>3.4580000000000002</v>
      </c>
      <c r="AA199" s="107">
        <f>SUM(AA26,AA167)</f>
        <v>0</v>
      </c>
      <c r="AB199" s="108">
        <f>SUM(AB26,AB167)</f>
        <v>0</v>
      </c>
      <c r="AC199" s="105">
        <f t="shared" ref="AC199:AC201" si="2093">SUM(AF199,AD199)</f>
        <v>0</v>
      </c>
      <c r="AD199" s="106">
        <f>SUM(AD26,AD167)</f>
        <v>0</v>
      </c>
      <c r="AE199" s="107">
        <f>SUM(AE26,AE167)</f>
        <v>0</v>
      </c>
      <c r="AF199" s="108">
        <f>SUM(AF26,AF167)</f>
        <v>0</v>
      </c>
      <c r="AG199" s="105">
        <f t="shared" ref="AG199:AG201" si="2094">SUM(AJ199,AH199)</f>
        <v>0</v>
      </c>
      <c r="AH199" s="106">
        <f>SUM(AH26,AH167)</f>
        <v>0</v>
      </c>
      <c r="AI199" s="107">
        <f>SUM(AI26,AI167)</f>
        <v>0</v>
      </c>
      <c r="AJ199" s="108">
        <f>SUM(AJ26,AJ167)</f>
        <v>0</v>
      </c>
      <c r="AK199" s="105">
        <f t="shared" ref="AK199:AK201" si="2095">SUM(AN199,AL199)</f>
        <v>66.457999999999998</v>
      </c>
      <c r="AL199" s="106">
        <f>SUM(AL26,AL167)</f>
        <v>6.4580000000000002</v>
      </c>
      <c r="AM199" s="107">
        <f>SUM(AM26,AM167)</f>
        <v>0.49</v>
      </c>
      <c r="AN199" s="108">
        <f>SUM(AN26,AN167)</f>
        <v>60</v>
      </c>
      <c r="AO199" s="105">
        <f t="shared" ref="AO199:AO201" si="2096">SUM(AR199,AP199)</f>
        <v>3.4580000000000002</v>
      </c>
      <c r="AP199" s="106">
        <f>SUM(AP26,AP167)</f>
        <v>3.4580000000000002</v>
      </c>
      <c r="AQ199" s="107">
        <f>SUM(AQ26,AQ167)</f>
        <v>0</v>
      </c>
      <c r="AR199" s="108">
        <f>SUM(AR26,AR167)</f>
        <v>0</v>
      </c>
      <c r="AS199" s="105">
        <f t="shared" ref="AS199:AS201" si="2097">SUM(AV199,AT199)</f>
        <v>0</v>
      </c>
      <c r="AT199" s="106">
        <f>SUM(AT26,AT167)</f>
        <v>0</v>
      </c>
      <c r="AU199" s="107">
        <f>SUM(AU26,AU167)</f>
        <v>0</v>
      </c>
      <c r="AV199" s="108">
        <f>SUM(AV26,AV167)</f>
        <v>0</v>
      </c>
      <c r="AW199" s="105">
        <f t="shared" ref="AW199:AW201" si="2098">SUM(AZ199,AX199)</f>
        <v>0</v>
      </c>
      <c r="AX199" s="106">
        <f>SUM(AX26,AX167)</f>
        <v>0</v>
      </c>
      <c r="AY199" s="107">
        <f>SUM(AY26,AY167)</f>
        <v>0</v>
      </c>
      <c r="AZ199" s="108">
        <f>SUM(AZ26,AZ167)</f>
        <v>0</v>
      </c>
      <c r="BA199" s="105">
        <f t="shared" ref="BA199:BA201" si="2099">SUM(BD199,BB199)</f>
        <v>66.457999999999998</v>
      </c>
      <c r="BB199" s="106">
        <f>SUM(BB26,BB167)</f>
        <v>6.4580000000000002</v>
      </c>
      <c r="BC199" s="107">
        <f>SUM(BC26,BC167)</f>
        <v>0.49</v>
      </c>
      <c r="BD199" s="108">
        <f>SUM(BD26,BD167)</f>
        <v>60</v>
      </c>
      <c r="BE199" s="105">
        <f t="shared" ref="BE199:BE201" si="2100">SUM(BH199,BF199)</f>
        <v>3.4580000000000002</v>
      </c>
      <c r="BF199" s="106">
        <f>SUM(BF26,BF167)</f>
        <v>3.4580000000000002</v>
      </c>
      <c r="BG199" s="107">
        <f>SUM(BG26,BG167)</f>
        <v>0</v>
      </c>
      <c r="BH199" s="108">
        <f>SUM(BH26,BH167)</f>
        <v>0</v>
      </c>
      <c r="BI199" s="105">
        <f t="shared" ref="BI199:BI201" si="2101">SUM(BL199,BJ199)</f>
        <v>0</v>
      </c>
      <c r="BJ199" s="106">
        <f>SUM(BJ26,BJ167)</f>
        <v>0</v>
      </c>
      <c r="BK199" s="107">
        <f>SUM(BK26,BK167)</f>
        <v>0</v>
      </c>
      <c r="BL199" s="108">
        <f>SUM(BL26,BL167)</f>
        <v>0</v>
      </c>
      <c r="BM199" s="105">
        <f t="shared" ref="BM199:BM201" si="2102">SUM(BP199,BN199)</f>
        <v>0</v>
      </c>
      <c r="BN199" s="106">
        <f>SUM(BN26,BN167)</f>
        <v>0</v>
      </c>
      <c r="BO199" s="107">
        <f>SUM(BO26,BO167)</f>
        <v>0</v>
      </c>
      <c r="BP199" s="108">
        <f>SUM(BP26,BP167)</f>
        <v>0</v>
      </c>
      <c r="BQ199" s="105">
        <f t="shared" ref="BQ199:BQ201" si="2103">SUM(BT199,BR199)</f>
        <v>66.457999999999998</v>
      </c>
      <c r="BR199" s="106">
        <f>SUM(BR26,BR167)</f>
        <v>6.4580000000000002</v>
      </c>
      <c r="BS199" s="107">
        <f>SUM(BS26,BS167)</f>
        <v>0.49</v>
      </c>
      <c r="BT199" s="108">
        <f>SUM(BT26,BT167)</f>
        <v>60</v>
      </c>
      <c r="BU199" s="105">
        <f t="shared" ref="BU199:BU201" si="2104">SUM(BX199,BV199)</f>
        <v>3.4580000000000002</v>
      </c>
      <c r="BV199" s="106">
        <f>SUM(BV26,BV167)</f>
        <v>3.4580000000000002</v>
      </c>
      <c r="BW199" s="107">
        <f>SUM(BW26,BW167)</f>
        <v>0</v>
      </c>
      <c r="BX199" s="108">
        <f>SUM(BX26,BX167)</f>
        <v>0</v>
      </c>
      <c r="BY199" s="105">
        <f t="shared" ref="BY199:BY201" si="2105">SUM(CB199,BZ199)</f>
        <v>0</v>
      </c>
      <c r="BZ199" s="106">
        <f>SUM(BZ26,BZ167)</f>
        <v>0</v>
      </c>
      <c r="CA199" s="107">
        <f>SUM(CA26,CA167)</f>
        <v>0</v>
      </c>
      <c r="CB199" s="108">
        <f>SUM(CB26,CB167)</f>
        <v>0</v>
      </c>
      <c r="CC199" s="105">
        <f t="shared" ref="CC199:CC201" si="2106">SUM(CF199,CD199)</f>
        <v>0</v>
      </c>
      <c r="CD199" s="106">
        <f>SUM(CD26,CD167)</f>
        <v>0</v>
      </c>
      <c r="CE199" s="107">
        <f>SUM(CE26,CE167)</f>
        <v>0</v>
      </c>
      <c r="CF199" s="108">
        <f>SUM(CF26,CF167)</f>
        <v>0</v>
      </c>
      <c r="CG199" s="105">
        <f t="shared" ref="CG199:CG201" si="2107">SUM(CJ199,CH199)</f>
        <v>66.457999999999998</v>
      </c>
      <c r="CH199" s="106">
        <f>SUM(CH26,CH167)</f>
        <v>6.4580000000000002</v>
      </c>
      <c r="CI199" s="107">
        <f>SUM(CI26,CI167)</f>
        <v>0.49</v>
      </c>
      <c r="CJ199" s="108">
        <f>SUM(CJ26,CJ167)</f>
        <v>60</v>
      </c>
      <c r="CK199" s="105">
        <f t="shared" ref="CK199:CK201" si="2108">SUM(CN199,CL199)</f>
        <v>3.4580000000000002</v>
      </c>
      <c r="CL199" s="106">
        <f>SUM(CL26,CL167)</f>
        <v>3.4580000000000002</v>
      </c>
      <c r="CM199" s="107">
        <f>SUM(CM26,CM167)</f>
        <v>0</v>
      </c>
      <c r="CN199" s="108">
        <f>SUM(CN26,CN167)</f>
        <v>0</v>
      </c>
      <c r="CO199" s="105">
        <f t="shared" ref="CO199:CO201" si="2109">SUM(CR199,CP199)</f>
        <v>0</v>
      </c>
      <c r="CP199" s="106">
        <f>SUM(CP26,CP167)</f>
        <v>0</v>
      </c>
      <c r="CQ199" s="107">
        <f>SUM(CQ26,CQ167)</f>
        <v>0</v>
      </c>
      <c r="CR199" s="108">
        <f>SUM(CR26,CR167)</f>
        <v>0</v>
      </c>
      <c r="CS199" s="105">
        <f t="shared" ref="CS199:CS201" si="2110">SUM(CV199,CT199)</f>
        <v>0</v>
      </c>
      <c r="CT199" s="106">
        <f>SUM(CT26,CT167)</f>
        <v>0</v>
      </c>
      <c r="CU199" s="107">
        <f>SUM(CU26,CU167)</f>
        <v>0</v>
      </c>
      <c r="CV199" s="108">
        <f>SUM(CV26,CV167)</f>
        <v>0</v>
      </c>
      <c r="CW199" s="105">
        <f t="shared" ref="CW199:CW201" si="2111">SUM(CZ199,CX199)</f>
        <v>66.457999999999998</v>
      </c>
      <c r="CX199" s="106">
        <f>SUM(CX26,CX167)</f>
        <v>6.4580000000000002</v>
      </c>
      <c r="CY199" s="107">
        <f>SUM(CY26,CY167)</f>
        <v>0.49</v>
      </c>
      <c r="CZ199" s="108">
        <f>SUM(CZ26,CZ167)</f>
        <v>60</v>
      </c>
      <c r="DA199" s="105">
        <f t="shared" ref="DA199:DA201" si="2112">SUM(DD199,DB199)</f>
        <v>3.4580000000000002</v>
      </c>
      <c r="DB199" s="106">
        <f>SUM(DB26,DB167)</f>
        <v>3.4580000000000002</v>
      </c>
      <c r="DC199" s="107">
        <f>SUM(DC26,DC167)</f>
        <v>0</v>
      </c>
      <c r="DD199" s="108">
        <f>SUM(DD26,DD167)</f>
        <v>0</v>
      </c>
      <c r="DE199" s="105">
        <f t="shared" ref="DE199:DE201" si="2113">SUM(DH199,DF199)</f>
        <v>0</v>
      </c>
      <c r="DF199" s="106">
        <f>SUM(DF26,DF167)</f>
        <v>0</v>
      </c>
      <c r="DG199" s="107">
        <f>SUM(DG26,DG167)</f>
        <v>0</v>
      </c>
      <c r="DH199" s="108">
        <f>SUM(DH26,DH167)</f>
        <v>0</v>
      </c>
      <c r="DI199" s="105">
        <f t="shared" ref="DI199:DI201" si="2114">SUM(DL199,DJ199)</f>
        <v>0</v>
      </c>
      <c r="DJ199" s="106">
        <f>SUM(DJ26,DJ167)</f>
        <v>0</v>
      </c>
      <c r="DK199" s="107">
        <f>SUM(DK26,DK167)</f>
        <v>0</v>
      </c>
      <c r="DL199" s="108">
        <f>SUM(DL26,DL167)</f>
        <v>0</v>
      </c>
      <c r="DM199" s="105">
        <f t="shared" ref="DM199:DM201" si="2115">SUM(DP199,DN199)</f>
        <v>66.457999999999998</v>
      </c>
      <c r="DN199" s="106">
        <f>SUM(DN26,DN167)</f>
        <v>6.4580000000000002</v>
      </c>
      <c r="DO199" s="107">
        <f>SUM(DO26,DO167)</f>
        <v>0.49</v>
      </c>
      <c r="DP199" s="108">
        <f>SUM(DP26,DP167)</f>
        <v>60</v>
      </c>
      <c r="DQ199" s="105">
        <f t="shared" ref="DQ199:DQ201" si="2116">SUM(DT199,DR199)</f>
        <v>3.4580000000000002</v>
      </c>
      <c r="DR199" s="106">
        <f>SUM(DR26,DR167)</f>
        <v>3.4580000000000002</v>
      </c>
      <c r="DS199" s="107">
        <f>SUM(DS26,DS167)</f>
        <v>0</v>
      </c>
      <c r="DT199" s="108">
        <f>SUM(DT26,DT167)</f>
        <v>0</v>
      </c>
      <c r="DU199" s="105">
        <f t="shared" ref="DU199:DU201" si="2117">SUM(DX199,DV199)</f>
        <v>0</v>
      </c>
      <c r="DV199" s="106">
        <f>SUM(DV26,DV167)</f>
        <v>0</v>
      </c>
      <c r="DW199" s="107">
        <f>SUM(DW26,DW167)</f>
        <v>0</v>
      </c>
      <c r="DX199" s="108">
        <f>SUM(DX26,DX167)</f>
        <v>0</v>
      </c>
      <c r="DY199" s="105">
        <f t="shared" ref="DY199:DY201" si="2118">SUM(EB199,DZ199)</f>
        <v>0</v>
      </c>
      <c r="DZ199" s="106">
        <f>SUM(DZ26,DZ167)</f>
        <v>0</v>
      </c>
      <c r="EA199" s="107">
        <f>SUM(EA26,EA167)</f>
        <v>0</v>
      </c>
      <c r="EB199" s="108">
        <f>SUM(EB26,EB167)</f>
        <v>0</v>
      </c>
      <c r="EC199" s="105">
        <f t="shared" ref="EC199:EC201" si="2119">SUM(EF199,ED199)</f>
        <v>66.457999999999998</v>
      </c>
      <c r="ED199" s="106">
        <f>SUM(ED26,ED167)</f>
        <v>6.4580000000000002</v>
      </c>
      <c r="EE199" s="107">
        <f>SUM(EE26,EE167)</f>
        <v>0.49</v>
      </c>
      <c r="EF199" s="108">
        <f>SUM(EF26,EF167)</f>
        <v>60</v>
      </c>
      <c r="EG199" s="105">
        <f t="shared" ref="EG199:EG201" si="2120">SUM(EJ199,EH199)</f>
        <v>3.4580000000000002</v>
      </c>
      <c r="EH199" s="106">
        <f>SUM(EH26,EH167)</f>
        <v>3.4580000000000002</v>
      </c>
      <c r="EI199" s="107">
        <f>SUM(EI26,EI167)</f>
        <v>0</v>
      </c>
      <c r="EJ199" s="108">
        <f>SUM(EJ26,EJ167)</f>
        <v>0</v>
      </c>
      <c r="EK199" s="163">
        <f t="shared" si="1402"/>
        <v>113.75899999999999</v>
      </c>
      <c r="EL199" s="163">
        <f t="shared" si="1403"/>
        <v>113.75899999999999</v>
      </c>
      <c r="EM199" s="105">
        <f t="shared" si="2086"/>
        <v>180.21699999999998</v>
      </c>
      <c r="EN199" s="106">
        <f>SUM(EN26,EN167)</f>
        <v>2.44</v>
      </c>
      <c r="EO199" s="107">
        <f>SUM(EO26,EO167)</f>
        <v>0.59199999999999997</v>
      </c>
      <c r="EP199" s="108">
        <f>SUM(EP26,EP167)</f>
        <v>177.77699999999999</v>
      </c>
      <c r="EQ199" s="105">
        <f t="shared" ref="EQ199:EQ201" si="2121">SUM(ET199,ER199)</f>
        <v>87.777000000000001</v>
      </c>
      <c r="ER199" s="106">
        <f>SUM(ER26,ER167)</f>
        <v>0</v>
      </c>
      <c r="ES199" s="107">
        <f>SUM(ES26,ES167)</f>
        <v>0</v>
      </c>
      <c r="ET199" s="108">
        <f>SUM(ET26,ET167)</f>
        <v>87.777000000000001</v>
      </c>
    </row>
    <row r="200" spans="1:150" ht="22.5" customHeight="1" x14ac:dyDescent="0.25">
      <c r="A200" s="18"/>
      <c r="B200" s="68" t="s">
        <v>47</v>
      </c>
      <c r="C200" s="706">
        <v>8</v>
      </c>
      <c r="D200" s="707"/>
      <c r="E200" s="105">
        <f t="shared" si="2052"/>
        <v>2553.0379999999996</v>
      </c>
      <c r="F200" s="106">
        <f>SUM(F27,F42,F48,F55,F62,F68,F74,F81,F88,F94,F101,F108,F116,F135,F148,F160,F168,F175)</f>
        <v>2457.8979999999997</v>
      </c>
      <c r="G200" s="107">
        <f>SUM(G27,G42,G48,G55,G62,G68,G74,G81,G88,G94,G101,G108,G116,G135,G148,G160,G168,G175)</f>
        <v>848.59</v>
      </c>
      <c r="H200" s="108">
        <f>SUM(H27,H42,H48,H55,H62,H68,H74,H81,H88,H94,H101,H108,H116,H135,H148,H160,H168,H175)</f>
        <v>95.14</v>
      </c>
      <c r="I200" s="105">
        <f t="shared" si="2088"/>
        <v>43.328000000000003</v>
      </c>
      <c r="J200" s="106">
        <f>SUM(J27,J42,J48,J55,J62,J68,J74,J81,J88,J94,J101,J108,J116,J135,J148,J160,J168,J175)</f>
        <v>13.327999999999999</v>
      </c>
      <c r="K200" s="107">
        <f>SUM(K27,K42,K48,K55,K62,K68,K74,K81,K88,K94,K101,K108,K116,K135,K148,K160,K168,K175)</f>
        <v>0</v>
      </c>
      <c r="L200" s="108">
        <f>SUM(L27,L42,L48,L55,L62,L68,L74,L81,L88,L94,L101,L108,L116,L135,L148,L160,L168,L175)</f>
        <v>30</v>
      </c>
      <c r="M200" s="105">
        <f t="shared" si="2089"/>
        <v>0</v>
      </c>
      <c r="N200" s="106">
        <f>SUM(N27,N42,N48,N55,N62,N68,N74,N81,N88,N94,N101,N108,N116,N135,N148,N160,N168,N175)</f>
        <v>0</v>
      </c>
      <c r="O200" s="107">
        <f>SUM(O27,O42,O48,O55,O62,O68,O74,O81,O88,O94,O101,O108,O116,O135,O148,O160,O168,O175)</f>
        <v>0</v>
      </c>
      <c r="P200" s="108">
        <f>SUM(P27,P42,P48,P55,P62,P68,P74,P81,P88,P94,P101,P108,P116,P135,P148,P160,P168,P175)</f>
        <v>0</v>
      </c>
      <c r="Q200" s="105">
        <f t="shared" si="2090"/>
        <v>0</v>
      </c>
      <c r="R200" s="106">
        <f>SUM(R27,R42,R48,R55,R62,R68,R74,R81,R88,R94,R101,R108,R116,R135,R148,R160,R168,R175)</f>
        <v>0</v>
      </c>
      <c r="S200" s="107">
        <f>SUM(S27,S42,S48,S55,S62,S68,S74,S81,S88,S94,S101,S108,S116,S135,S148,S160,S168,S175)</f>
        <v>0</v>
      </c>
      <c r="T200" s="108">
        <f>SUM(T27,T42,T48,T55,T62,T68,T74,T81,T88,T94,T101,T108,T116,T135,T148,T160,T168,T175)</f>
        <v>0</v>
      </c>
      <c r="U200" s="105">
        <f t="shared" si="2091"/>
        <v>2553.0379999999996</v>
      </c>
      <c r="V200" s="106">
        <f>SUM(V27,V42,V48,V55,V62,V68,V74,V81,V88,V94,V101,V108,V116,V135,V148,V160,V168,V175)</f>
        <v>2457.8979999999997</v>
      </c>
      <c r="W200" s="107">
        <f>SUM(W27,W42,W48,W55,W62,W68,W74,W81,W88,W94,W101,W108,W116,W135,W148,W160,W168,W175)</f>
        <v>848.59</v>
      </c>
      <c r="X200" s="108">
        <f>SUM(X27,X42,X48,X55,X62,X68,X74,X81,X88,X94,X101,X108,X116,X135,X148,X160,X168,X175)</f>
        <v>95.14</v>
      </c>
      <c r="Y200" s="105">
        <f t="shared" si="2092"/>
        <v>43.328000000000003</v>
      </c>
      <c r="Z200" s="106">
        <f>SUM(Z27,Z42,Z48,Z55,Z62,Z68,Z74,Z81,Z88,Z94,Z101,Z108,Z116,Z135,Z148,Z160,Z168,Z175)</f>
        <v>13.327999999999999</v>
      </c>
      <c r="AA200" s="107">
        <f>SUM(AA27,AA42,AA48,AA55,AA62,AA68,AA74,AA81,AA88,AA94,AA101,AA108,AA116,AA135,AA148,AA160,AA168,AA175)</f>
        <v>0</v>
      </c>
      <c r="AB200" s="108">
        <f>SUM(AB27,AB42,AB48,AB55,AB62,AB68,AB74,AB81,AB88,AB94,AB101,AB108,AB116,AB135,AB148,AB160,AB168,AB175)</f>
        <v>30</v>
      </c>
      <c r="AC200" s="105">
        <f t="shared" si="2093"/>
        <v>0</v>
      </c>
      <c r="AD200" s="106">
        <f>SUM(AD27,AD42,AD48,AD55,AD62,AD68,AD74,AD81,AD88,AD94,AD101,AD108,AD116,AD135,AD148,AD160,AD168,AD175)</f>
        <v>0</v>
      </c>
      <c r="AE200" s="107">
        <f>SUM(AE27,AE42,AE48,AE55,AE62,AE68,AE74,AE81,AE88,AE94,AE101,AE108,AE116,AE135,AE148,AE160,AE168,AE175)</f>
        <v>0</v>
      </c>
      <c r="AF200" s="108">
        <f>SUM(AF27,AF42,AF48,AF55,AF62,AF68,AF74,AF81,AF88,AF94,AF101,AF108,AF116,AF135,AF148,AF160,AF168,AF175)</f>
        <v>0</v>
      </c>
      <c r="AG200" s="105">
        <f t="shared" si="2094"/>
        <v>0</v>
      </c>
      <c r="AH200" s="106">
        <f>SUM(AH27,AH42,AH48,AH55,AH62,AH68,AH74,AH81,AH88,AH94,AH101,AH108,AH116,AH135,AH148,AH160,AH168,AH175)</f>
        <v>0</v>
      </c>
      <c r="AI200" s="107">
        <f>SUM(AI27,AI42,AI48,AI55,AI62,AI68,AI74,AI81,AI88,AI94,AI101,AI108,AI116,AI135,AI148,AI160,AI168,AI175)</f>
        <v>0</v>
      </c>
      <c r="AJ200" s="108">
        <f>SUM(AJ27,AJ42,AJ48,AJ55,AJ62,AJ68,AJ74,AJ81,AJ88,AJ94,AJ101,AJ108,AJ116,AJ135,AJ148,AJ160,AJ168,AJ175)</f>
        <v>0</v>
      </c>
      <c r="AK200" s="105">
        <f t="shared" si="2095"/>
        <v>2553.0379999999996</v>
      </c>
      <c r="AL200" s="106">
        <f>SUM(AL27,AL42,AL48,AL55,AL62,AL68,AL74,AL81,AL88,AL94,AL101,AL108,AL116,AL135,AL148,AL160,AL168,AL175)</f>
        <v>2457.8979999999997</v>
      </c>
      <c r="AM200" s="107">
        <f>SUM(AM27,AM42,AM48,AM55,AM62,AM68,AM74,AM81,AM88,AM94,AM101,AM108,AM116,AM135,AM148,AM160,AM168,AM175)</f>
        <v>848.59</v>
      </c>
      <c r="AN200" s="108">
        <f>SUM(AN27,AN42,AN48,AN55,AN62,AN68,AN74,AN81,AN88,AN94,AN101,AN108,AN116,AN135,AN148,AN160,AN168,AN175)</f>
        <v>95.14</v>
      </c>
      <c r="AO200" s="105">
        <f t="shared" si="2096"/>
        <v>43.328000000000003</v>
      </c>
      <c r="AP200" s="106">
        <f>SUM(AP27,AP42,AP48,AP55,AP62,AP68,AP74,AP81,AP88,AP94,AP101,AP108,AP116,AP135,AP148,AP160,AP168,AP175)</f>
        <v>13.327999999999999</v>
      </c>
      <c r="AQ200" s="107">
        <f>SUM(AQ27,AQ42,AQ48,AQ55,AQ62,AQ68,AQ74,AQ81,AQ88,AQ94,AQ101,AQ108,AQ116,AQ135,AQ148,AQ160,AQ168,AQ175)</f>
        <v>0</v>
      </c>
      <c r="AR200" s="108">
        <f>SUM(AR27,AR42,AR48,AR55,AR62,AR68,AR74,AR81,AR88,AR94,AR101,AR108,AR116,AR135,AR148,AR160,AR168,AR175)</f>
        <v>30</v>
      </c>
      <c r="AS200" s="105">
        <f t="shared" si="2097"/>
        <v>0</v>
      </c>
      <c r="AT200" s="106">
        <f>SUM(AT27,AT42,AT48,AT55,AT62,AT68,AT74,AT81,AT88,AT94,AT101,AT108,AT116,AT135,AT148,AT160,AT168,AT175)</f>
        <v>0</v>
      </c>
      <c r="AU200" s="107">
        <f>SUM(AU27,AU42,AU48,AU55,AU62,AU68,AU74,AU81,AU88,AU94,AU101,AU108,AU116,AU135,AU148,AU160,AU168,AU175)</f>
        <v>-0.95</v>
      </c>
      <c r="AV200" s="108">
        <f>SUM(AV27,AV42,AV48,AV55,AV62,AV68,AV74,AV81,AV88,AV94,AV101,AV108,AV116,AV135,AV148,AV160,AV168,AV175)</f>
        <v>0</v>
      </c>
      <c r="AW200" s="105">
        <f t="shared" si="2098"/>
        <v>0</v>
      </c>
      <c r="AX200" s="106">
        <f>SUM(AX27,AX42,AX48,AX55,AX62,AX68,AX74,AX81,AX88,AX94,AX101,AX108,AX116,AX135,AX148,AX160,AX168,AX175)</f>
        <v>0</v>
      </c>
      <c r="AY200" s="107">
        <f>SUM(AY27,AY42,AY48,AY55,AY62,AY68,AY74,AY81,AY88,AY94,AY101,AY108,AY116,AY135,AY148,AY160,AY168,AY175)</f>
        <v>0</v>
      </c>
      <c r="AZ200" s="108">
        <f>SUM(AZ27,AZ42,AZ48,AZ55,AZ62,AZ68,AZ74,AZ81,AZ88,AZ94,AZ101,AZ108,AZ116,AZ135,AZ148,AZ160,AZ168,AZ175)</f>
        <v>0</v>
      </c>
      <c r="BA200" s="105">
        <f t="shared" si="2099"/>
        <v>2553.0379999999996</v>
      </c>
      <c r="BB200" s="106">
        <f>SUM(BB27,BB42,BB48,BB55,BB62,BB68,BB74,BB81,BB88,BB94,BB101,BB108,BB116,BB135,BB148,BB160,BB168,BB175)</f>
        <v>2457.8979999999997</v>
      </c>
      <c r="BC200" s="107">
        <f>SUM(BC27,BC42,BC48,BC55,BC62,BC68,BC74,BC81,BC88,BC94,BC101,BC108,BC116,BC135,BC148,BC160,BC168,BC175)</f>
        <v>847.64</v>
      </c>
      <c r="BD200" s="108">
        <f>SUM(BD27,BD42,BD48,BD55,BD62,BD68,BD74,BD81,BD88,BD94,BD101,BD108,BD116,BD135,BD148,BD160,BD168,BD175)</f>
        <v>95.14</v>
      </c>
      <c r="BE200" s="105">
        <f t="shared" si="2100"/>
        <v>43.328000000000003</v>
      </c>
      <c r="BF200" s="106">
        <f>SUM(BF27,BF42,BF48,BF55,BF62,BF68,BF74,BF81,BF88,BF94,BF101,BF108,BF116,BF135,BF148,BF160,BF168,BF175)</f>
        <v>13.327999999999999</v>
      </c>
      <c r="BG200" s="107">
        <f>SUM(BG27,BG42,BG48,BG55,BG62,BG68,BG74,BG81,BG88,BG94,BG101,BG108,BG116,BG135,BG148,BG160,BG168,BG175)</f>
        <v>0</v>
      </c>
      <c r="BH200" s="108">
        <f>SUM(BH27,BH42,BH48,BH55,BH62,BH68,BH74,BH81,BH88,BH94,BH101,BH108,BH116,BH135,BH148,BH160,BH168,BH175)</f>
        <v>30</v>
      </c>
      <c r="BI200" s="105">
        <f t="shared" si="2101"/>
        <v>0</v>
      </c>
      <c r="BJ200" s="106">
        <f>SUM(BJ27,BJ42,BJ48,BJ55,BJ62,BJ68,BJ74,BJ81,BJ88,BJ94,BJ101,BJ108,BJ116,BJ135,BJ148,BJ160,BJ168,BJ175)</f>
        <v>0</v>
      </c>
      <c r="BK200" s="107">
        <f>SUM(BK27,BK42,BK48,BK55,BK62,BK68,BK74,BK81,BK88,BK94,BK101,BK108,BK116,BK135,BK148,BK160,BK168,BK175)</f>
        <v>0</v>
      </c>
      <c r="BL200" s="108">
        <f>SUM(BL27,BL42,BL48,BL55,BL62,BL68,BL74,BL81,BL88,BL94,BL101,BL108,BL116,BL135,BL148,BL160,BL168,BL175)</f>
        <v>0</v>
      </c>
      <c r="BM200" s="105">
        <f t="shared" si="2102"/>
        <v>0</v>
      </c>
      <c r="BN200" s="106">
        <f>SUM(BN27,BN42,BN48,BN55,BN62,BN68,BN74,BN81,BN88,BN94,BN101,BN108,BN116,BN135,BN148,BN160,BN168,BN175)</f>
        <v>0</v>
      </c>
      <c r="BO200" s="107">
        <f>SUM(BO27,BO42,BO48,BO55,BO62,BO68,BO74,BO81,BO88,BO94,BO101,BO108,BO116,BO135,BO148,BO160,BO168,BO175)</f>
        <v>0</v>
      </c>
      <c r="BP200" s="108">
        <f>SUM(BP27,BP42,BP48,BP55,BP62,BP68,BP74,BP81,BP88,BP94,BP101,BP108,BP116,BP135,BP148,BP160,BP168,BP175)</f>
        <v>0</v>
      </c>
      <c r="BQ200" s="105">
        <f t="shared" si="2103"/>
        <v>2553.0379999999996</v>
      </c>
      <c r="BR200" s="106">
        <f>SUM(BR27,BR42,BR48,BR55,BR62,BR68,BR74,BR81,BR88,BR94,BR101,BR108,BR116,BR135,BR148,BR160,BR168,BR175)</f>
        <v>2457.8979999999997</v>
      </c>
      <c r="BS200" s="107">
        <f>SUM(BS27,BS42,BS48,BS55,BS62,BS68,BS74,BS81,BS88,BS94,BS101,BS108,BS116,BS135,BS148,BS160,BS168,BS175)</f>
        <v>847.64</v>
      </c>
      <c r="BT200" s="108">
        <f>SUM(BT27,BT42,BT48,BT55,BT62,BT68,BT74,BT81,BT88,BT94,BT101,BT108,BT116,BT135,BT148,BT160,BT168,BT175)</f>
        <v>95.14</v>
      </c>
      <c r="BU200" s="105">
        <f t="shared" si="2104"/>
        <v>43.328000000000003</v>
      </c>
      <c r="BV200" s="106">
        <f>SUM(BV27,BV42,BV48,BV55,BV62,BV68,BV74,BV81,BV88,BV94,BV101,BV108,BV116,BV135,BV148,BV160,BV168,BV175)</f>
        <v>13.327999999999999</v>
      </c>
      <c r="BW200" s="107">
        <f>SUM(BW27,BW42,BW48,BW55,BW62,BW68,BW74,BW81,BW88,BW94,BW101,BW108,BW116,BW135,BW148,BW160,BW168,BW175)</f>
        <v>0</v>
      </c>
      <c r="BX200" s="108">
        <f>SUM(BX27,BX42,BX48,BX55,BX62,BX68,BX74,BX81,BX88,BX94,BX101,BX108,BX116,BX135,BX148,BX160,BX168,BX175)</f>
        <v>30</v>
      </c>
      <c r="BY200" s="105">
        <f t="shared" si="2105"/>
        <v>0</v>
      </c>
      <c r="BZ200" s="106">
        <f>SUM(BZ27,BZ42,BZ48,BZ55,BZ62,BZ68,BZ74,BZ81,BZ88,BZ94,BZ101,BZ108,BZ116,BZ135,BZ148,BZ160,BZ168,BZ175)</f>
        <v>0</v>
      </c>
      <c r="CA200" s="107">
        <f>SUM(CA27,CA42,CA48,CA55,CA62,CA68,CA74,CA81,CA88,CA94,CA101,CA108,CA116,CA135,CA148,CA160,CA168,CA175)</f>
        <v>-0.41399999999999998</v>
      </c>
      <c r="CB200" s="108">
        <f>SUM(CB27,CB42,CB48,CB55,CB62,CB68,CB74,CB81,CB88,CB94,CB101,CB108,CB116,CB135,CB148,CB160,CB168,CB175)</f>
        <v>0</v>
      </c>
      <c r="CC200" s="105">
        <f t="shared" si="2106"/>
        <v>0</v>
      </c>
      <c r="CD200" s="106">
        <f>SUM(CD27,CD42,CD48,CD55,CD62,CD68,CD74,CD81,CD88,CD94,CD101,CD108,CD116,CD135,CD148,CD160,CD168,CD175)</f>
        <v>0</v>
      </c>
      <c r="CE200" s="107">
        <f>SUM(CE27,CE42,CE48,CE55,CE62,CE68,CE74,CE81,CE88,CE94,CE101,CE108,CE116,CE135,CE148,CE160,CE168,CE175)</f>
        <v>0</v>
      </c>
      <c r="CF200" s="108">
        <f>SUM(CF27,CF42,CF48,CF55,CF62,CF68,CF74,CF81,CF88,CF94,CF101,CF108,CF116,CF135,CF148,CF160,CF168,CF175)</f>
        <v>0</v>
      </c>
      <c r="CG200" s="105">
        <f t="shared" si="2107"/>
        <v>2553.0379999999996</v>
      </c>
      <c r="CH200" s="106">
        <f>SUM(CH27,CH42,CH48,CH55,CH62,CH68,CH74,CH81,CH88,CH94,CH101,CH108,CH116,CH135,CH148,CH160,CH168,CH175)</f>
        <v>2457.8979999999997</v>
      </c>
      <c r="CI200" s="107">
        <f>SUM(CI27,CI42,CI48,CI55,CI62,CI68,CI74,CI81,CI88,CI94,CI101,CI108,CI116,CI135,CI148,CI160,CI168,CI175)</f>
        <v>847.226</v>
      </c>
      <c r="CJ200" s="108">
        <f>SUM(CJ27,CJ42,CJ48,CJ55,CJ62,CJ68,CJ74,CJ81,CJ88,CJ94,CJ101,CJ108,CJ116,CJ135,CJ148,CJ160,CJ168,CJ175)</f>
        <v>95.14</v>
      </c>
      <c r="CK200" s="105">
        <f t="shared" si="2108"/>
        <v>43.328000000000003</v>
      </c>
      <c r="CL200" s="106">
        <f>SUM(CL27,CL42,CL48,CL55,CL62,CL68,CL74,CL81,CL88,CL94,CL101,CL108,CL116,CL135,CL148,CL160,CL168,CL175)</f>
        <v>13.327999999999999</v>
      </c>
      <c r="CM200" s="107">
        <f>SUM(CM27,CM42,CM48,CM55,CM62,CM68,CM74,CM81,CM88,CM94,CM101,CM108,CM116,CM135,CM148,CM160,CM168,CM175)</f>
        <v>0</v>
      </c>
      <c r="CN200" s="108">
        <f>SUM(CN27,CN42,CN48,CN55,CN62,CN68,CN74,CN81,CN88,CN94,CN101,CN108,CN116,CN135,CN148,CN160,CN168,CN175)</f>
        <v>30</v>
      </c>
      <c r="CO200" s="105">
        <f t="shared" si="2109"/>
        <v>0</v>
      </c>
      <c r="CP200" s="106">
        <f>SUM(CP27,CP42,CP48,CP55,CP62,CP68,CP74,CP81,CP88,CP94,CP101,CP108,CP116,CP135,CP148,CP160,CP168,CP175)</f>
        <v>-1.3759999999999999</v>
      </c>
      <c r="CQ200" s="107">
        <f>SUM(CQ27,CQ42,CQ48,CQ55,CQ62,CQ68,CQ74,CQ81,CQ88,CQ94,CQ101,CQ108,CQ116,CQ135,CQ148,CQ160,CQ168,CQ175)</f>
        <v>0</v>
      </c>
      <c r="CR200" s="108">
        <f>SUM(CR27,CR42,CR48,CR55,CR62,CR68,CR74,CR81,CR88,CR94,CR101,CR108,CR116,CR135,CR148,CR160,CR168,CR175)</f>
        <v>1.3759999999999999</v>
      </c>
      <c r="CS200" s="105">
        <f t="shared" si="2110"/>
        <v>0</v>
      </c>
      <c r="CT200" s="106">
        <f>SUM(CT27,CT42,CT48,CT55,CT62,CT68,CT74,CT81,CT88,CT94,CT101,CT108,CT116,CT135,CT148,CT160,CT168,CT175)</f>
        <v>0</v>
      </c>
      <c r="CU200" s="107">
        <f>SUM(CU27,CU42,CU48,CU55,CU62,CU68,CU74,CU81,CU88,CU94,CU101,CU108,CU116,CU135,CU148,CU160,CU168,CU175)</f>
        <v>0</v>
      </c>
      <c r="CV200" s="108">
        <f>SUM(CV27,CV42,CV48,CV55,CV62,CV68,CV74,CV81,CV88,CV94,CV101,CV108,CV116,CV135,CV148,CV160,CV168,CV175)</f>
        <v>0</v>
      </c>
      <c r="CW200" s="105">
        <f t="shared" si="2111"/>
        <v>2553.0379999999996</v>
      </c>
      <c r="CX200" s="106">
        <f>SUM(CX27,CX42,CX48,CX55,CX62,CX68,CX74,CX81,CX88,CX94,CX101,CX108,CX116,CX135,CX148,CX160,CX168,CX175)</f>
        <v>2456.5219999999995</v>
      </c>
      <c r="CY200" s="107">
        <f>SUM(CY27,CY42,CY48,CY55,CY62,CY68,CY74,CY81,CY88,CY94,CY101,CY108,CY116,CY135,CY148,CY160,CY168,CY175)</f>
        <v>847.226</v>
      </c>
      <c r="CZ200" s="108">
        <f>SUM(CZ27,CZ42,CZ48,CZ55,CZ62,CZ68,CZ74,CZ81,CZ88,CZ94,CZ101,CZ108,CZ116,CZ135,CZ148,CZ160,CZ168,CZ175)</f>
        <v>96.516000000000005</v>
      </c>
      <c r="DA200" s="105">
        <f t="shared" si="2112"/>
        <v>43.328000000000003</v>
      </c>
      <c r="DB200" s="106">
        <f>SUM(DB27,DB42,DB48,DB55,DB62,DB68,DB74,DB81,DB88,DB94,DB101,DB108,DB116,DB135,DB148,DB160,DB168,DB175)</f>
        <v>13.327999999999999</v>
      </c>
      <c r="DC200" s="107">
        <f>SUM(DC27,DC42,DC48,DC55,DC62,DC68,DC74,DC81,DC88,DC94,DC101,DC108,DC116,DC135,DC148,DC160,DC168,DC175)</f>
        <v>0</v>
      </c>
      <c r="DD200" s="108">
        <f>SUM(DD27,DD42,DD48,DD55,DD62,DD68,DD74,DD81,DD88,DD94,DD101,DD108,DD116,DD135,DD148,DD160,DD168,DD175)</f>
        <v>30</v>
      </c>
      <c r="DE200" s="105">
        <f t="shared" si="2113"/>
        <v>0</v>
      </c>
      <c r="DF200" s="106">
        <f>SUM(DF27,DF42,DF48,DF55,DF62,DF68,DF74,DF81,DF88,DF94,DF101,DF108,DF116,DF135,DF148,DF160,DF168,DF175)</f>
        <v>0</v>
      </c>
      <c r="DG200" s="107">
        <f>SUM(DG27,DG42,DG48,DG55,DG62,DG68,DG74,DG81,DG88,DG94,DG101,DG108,DG116,DG135,DG148,DG160,DG168,DG175)</f>
        <v>0</v>
      </c>
      <c r="DH200" s="108">
        <f>SUM(DH27,DH42,DH48,DH55,DH62,DH68,DH74,DH81,DH88,DH94,DH101,DH108,DH116,DH135,DH148,DH160,DH168,DH175)</f>
        <v>0</v>
      </c>
      <c r="DI200" s="105">
        <f t="shared" si="2114"/>
        <v>0</v>
      </c>
      <c r="DJ200" s="106">
        <f>SUM(DJ27,DJ42,DJ48,DJ55,DJ62,DJ68,DJ74,DJ81,DJ88,DJ94,DJ101,DJ108,DJ116,DJ135,DJ148,DJ160,DJ168,DJ175)</f>
        <v>0</v>
      </c>
      <c r="DK200" s="107">
        <f>SUM(DK27,DK42,DK48,DK55,DK62,DK68,DK74,DK81,DK88,DK94,DK101,DK108,DK116,DK135,DK148,DK160,DK168,DK175)</f>
        <v>0</v>
      </c>
      <c r="DL200" s="108">
        <f>SUM(DL27,DL42,DL48,DL55,DL62,DL68,DL74,DL81,DL88,DL94,DL101,DL108,DL116,DL135,DL148,DL160,DL168,DL175)</f>
        <v>0</v>
      </c>
      <c r="DM200" s="105">
        <f t="shared" si="2115"/>
        <v>2553.0379999999996</v>
      </c>
      <c r="DN200" s="106">
        <f>SUM(DN27,DN42,DN48,DN55,DN62,DN68,DN74,DN81,DN88,DN94,DN101,DN108,DN116,DN135,DN148,DN160,DN168,DN175)</f>
        <v>2456.5219999999995</v>
      </c>
      <c r="DO200" s="107">
        <f>SUM(DO27,DO42,DO48,DO55,DO62,DO68,DO74,DO81,DO88,DO94,DO101,DO108,DO116,DO135,DO148,DO160,DO168,DO175)</f>
        <v>847.226</v>
      </c>
      <c r="DP200" s="108">
        <f>SUM(DP27,DP42,DP48,DP55,DP62,DP68,DP74,DP81,DP88,DP94,DP101,DP108,DP116,DP135,DP148,DP160,DP168,DP175)</f>
        <v>96.516000000000005</v>
      </c>
      <c r="DQ200" s="105">
        <f t="shared" si="2116"/>
        <v>43.328000000000003</v>
      </c>
      <c r="DR200" s="106">
        <f>SUM(DR27,DR42,DR48,DR55,DR62,DR68,DR74,DR81,DR88,DR94,DR101,DR108,DR116,DR135,DR148,DR160,DR168,DR175)</f>
        <v>13.327999999999999</v>
      </c>
      <c r="DS200" s="107">
        <f>SUM(DS27,DS42,DS48,DS55,DS62,DS68,DS74,DS81,DS88,DS94,DS101,DS108,DS116,DS135,DS148,DS160,DS168,DS175)</f>
        <v>0</v>
      </c>
      <c r="DT200" s="108">
        <f>SUM(DT27,DT42,DT48,DT55,DT62,DT68,DT74,DT81,DT88,DT94,DT101,DT108,DT116,DT135,DT148,DT160,DT168,DT175)</f>
        <v>30</v>
      </c>
      <c r="DU200" s="105">
        <f t="shared" si="2117"/>
        <v>1.2789999999999999</v>
      </c>
      <c r="DV200" s="106">
        <f>SUM(DV27,DV42,DV48,DV55,DV62,DV68,DV74,DV81,DV88,DV94,DV101,DV108,DV116,DV135,DV148,DV160,DV168,DV175)</f>
        <v>24.678999999999998</v>
      </c>
      <c r="DW200" s="107">
        <f>SUM(DW27,DW42,DW48,DW55,DW62,DW68,DW74,DW81,DW88,DW94,DW101,DW108,DW116,DW135,DW148,DW160,DW168,DW175)</f>
        <v>-5.5380000000000003</v>
      </c>
      <c r="DX200" s="108">
        <f>SUM(DX27,DX42,DX48,DX55,DX62,DX68,DX74,DX81,DX88,DX94,DX101,DX108,DX116,DX135,DX148,DX160,DX168,DX175)</f>
        <v>-23.4</v>
      </c>
      <c r="DY200" s="105">
        <f t="shared" si="2118"/>
        <v>0</v>
      </c>
      <c r="DZ200" s="106">
        <f>SUM(DZ27,DZ42,DZ48,DZ55,DZ62,DZ68,DZ74,DZ81,DZ88,DZ94,DZ101,DZ108,DZ116,DZ135,DZ148,DZ160,DZ168,DZ175)</f>
        <v>0</v>
      </c>
      <c r="EA200" s="107">
        <f>SUM(EA27,EA42,EA48,EA55,EA62,EA68,EA74,EA81,EA88,EA94,EA101,EA108,EA116,EA135,EA148,EA160,EA168,EA175)</f>
        <v>0</v>
      </c>
      <c r="EB200" s="108">
        <f>SUM(EB27,EB42,EB48,EB55,EB62,EB68,EB74,EB81,EB88,EB94,EB101,EB108,EB116,EB135,EB148,EB160,EB168,EB175)</f>
        <v>0</v>
      </c>
      <c r="EC200" s="105">
        <f t="shared" si="2119"/>
        <v>2554.3169999999996</v>
      </c>
      <c r="ED200" s="106">
        <f>SUM(ED27,ED42,ED48,ED55,ED62,ED68,ED74,ED81,ED88,ED94,ED101,ED108,ED116,ED135,ED148,ED160,ED168,ED175)</f>
        <v>2481.2009999999996</v>
      </c>
      <c r="EE200" s="107">
        <f>SUM(EE27,EE42,EE48,EE55,EE62,EE68,EE74,EE81,EE88,EE94,EE101,EE108,EE116,EE135,EE148,EE160,EE168,EE175)</f>
        <v>841.68799999999999</v>
      </c>
      <c r="EF200" s="108">
        <f>SUM(EF27,EF42,EF48,EF55,EF62,EF68,EF74,EF81,EF88,EF94,EF101,EF108,EF116,EF135,EF148,EF160,EF168,EF175)</f>
        <v>73.116000000000014</v>
      </c>
      <c r="EG200" s="105">
        <f t="shared" si="2120"/>
        <v>43.328000000000003</v>
      </c>
      <c r="EH200" s="106">
        <f>SUM(EH27,EH42,EH48,EH55,EH62,EH68,EH74,EH81,EH88,EH94,EH101,EH108,EH116,EH135,EH148,EH160,EH168,EH175)</f>
        <v>13.327999999999999</v>
      </c>
      <c r="EI200" s="107">
        <f>SUM(EI27,EI42,EI48,EI55,EI62,EI68,EI74,EI81,EI88,EI94,EI101,EI108,EI116,EI135,EI148,EI160,EI168,EI175)</f>
        <v>0</v>
      </c>
      <c r="EJ200" s="108">
        <f>SUM(EJ27,EJ42,EJ48,EJ55,EJ62,EJ68,EJ74,EJ81,EJ88,EJ94,EJ101,EJ108,EJ116,EJ135,EJ148,EJ160,EJ168,EJ175)</f>
        <v>30</v>
      </c>
      <c r="EK200" s="163">
        <f t="shared" si="1402"/>
        <v>135.48799999999983</v>
      </c>
      <c r="EL200" s="163">
        <f t="shared" si="1403"/>
        <v>134.20899999999983</v>
      </c>
      <c r="EM200" s="105">
        <f t="shared" si="2086"/>
        <v>2688.5259999999994</v>
      </c>
      <c r="EN200" s="106">
        <f>SUM(EN27,EN42,EN48,EN55,EN62,EN68,EN74,EN81,EN88,EN94,EN101,EN108,EN116,EN135,EN148,EN160,EN168,EN175)</f>
        <v>2580.9379999999992</v>
      </c>
      <c r="EO200" s="107">
        <f>SUM(EO27,EO42,EO48,EO55,EO62,EO68,EO74,EO81,EO88,EO94,EO101,EO108,EO116,EO135,EO148,EO160,EO168,EO175)</f>
        <v>921.947</v>
      </c>
      <c r="EP200" s="108">
        <f>SUM(EP27,EP42,EP48,EP55,EP62,EP68,EP74,EP81,EP88,EP94,EP101,EP108,EP116,EP135,EP148,EP160,EP168,EP175)</f>
        <v>107.58799999999999</v>
      </c>
      <c r="EQ200" s="105">
        <f t="shared" si="2121"/>
        <v>99.115999999999985</v>
      </c>
      <c r="ER200" s="106">
        <f>SUM(ER27,ER42,ER48,ER55,ER62,ER68,ER74,ER81,ER88,ER94,ER101,ER108,ER116,ER135,ER148,ER160,ER168,ER175)</f>
        <v>8.5279999999999987</v>
      </c>
      <c r="ES200" s="107">
        <f>SUM(ES27,ES42,ES48,ES55,ES62,ES68,ES74,ES81,ES88,ES94,ES101,ES108,ES116,ES135,ES148,ES160,ES168,ES175)</f>
        <v>0.53700000000000003</v>
      </c>
      <c r="ET200" s="108">
        <f>SUM(ET27,ET42,ET48,ET55,ET62,ET68,ET74,ET81,ET88,ET94,ET101,ET108,ET116,ET135,ET148,ET160,ET168,ET175)</f>
        <v>90.587999999999994</v>
      </c>
    </row>
    <row r="201" spans="1:150" ht="23.25" customHeight="1" x14ac:dyDescent="0.25">
      <c r="A201" s="18"/>
      <c r="B201" s="68" t="s">
        <v>48</v>
      </c>
      <c r="C201" s="706">
        <v>9</v>
      </c>
      <c r="D201" s="707"/>
      <c r="E201" s="105">
        <f t="shared" si="2052"/>
        <v>1068.0069999999998</v>
      </c>
      <c r="F201" s="106">
        <f>SUM(F28,F136,F137,F117)</f>
        <v>342.19900000000001</v>
      </c>
      <c r="G201" s="107">
        <f>SUM(G28,G136,G137,G117)</f>
        <v>88.48</v>
      </c>
      <c r="H201" s="108">
        <f>SUM(H28,H136,H137,H117)</f>
        <v>725.80799999999988</v>
      </c>
      <c r="I201" s="105">
        <f t="shared" si="2088"/>
        <v>776.02799999999979</v>
      </c>
      <c r="J201" s="106">
        <f>SUM(J28,J136,J137,J117)</f>
        <v>72.718999999999994</v>
      </c>
      <c r="K201" s="107">
        <f>SUM(K28,K136,K137,K117)</f>
        <v>9.07</v>
      </c>
      <c r="L201" s="108">
        <f>SUM(L28,L136,L137,L117)</f>
        <v>703.30899999999986</v>
      </c>
      <c r="M201" s="105">
        <f t="shared" si="2089"/>
        <v>0</v>
      </c>
      <c r="N201" s="106">
        <f>SUM(N28,N136,N137,N117)</f>
        <v>0</v>
      </c>
      <c r="O201" s="107">
        <f>SUM(O28,O136,O137,O117)</f>
        <v>0</v>
      </c>
      <c r="P201" s="108">
        <f>SUM(P28,P136,P137,P117)</f>
        <v>0</v>
      </c>
      <c r="Q201" s="105">
        <f t="shared" si="2090"/>
        <v>0</v>
      </c>
      <c r="R201" s="106">
        <f>SUM(R28,R136,R137,R117)</f>
        <v>0</v>
      </c>
      <c r="S201" s="107">
        <f>SUM(S28,S136,S137,S117)</f>
        <v>0</v>
      </c>
      <c r="T201" s="108">
        <f>SUM(T28,T136,T137,T117)</f>
        <v>0</v>
      </c>
      <c r="U201" s="105">
        <f t="shared" si="2091"/>
        <v>1068.0069999999998</v>
      </c>
      <c r="V201" s="106">
        <f>SUM(V28,V136,V137,V117)</f>
        <v>342.19900000000001</v>
      </c>
      <c r="W201" s="107">
        <f>SUM(W28,W136,W137,W117)</f>
        <v>88.48</v>
      </c>
      <c r="X201" s="108">
        <f>SUM(X28,X136,X137,X117)</f>
        <v>725.80799999999988</v>
      </c>
      <c r="Y201" s="105">
        <f t="shared" si="2092"/>
        <v>776.02799999999979</v>
      </c>
      <c r="Z201" s="106">
        <f>SUM(Z28,Z136,Z137,Z117)</f>
        <v>72.718999999999994</v>
      </c>
      <c r="AA201" s="107">
        <f>SUM(AA28,AA136,AA137,AA117)</f>
        <v>9.07</v>
      </c>
      <c r="AB201" s="108">
        <f>SUM(AB28,AB136,AB137,AB117)</f>
        <v>703.30899999999986</v>
      </c>
      <c r="AC201" s="105">
        <f t="shared" si="2093"/>
        <v>5</v>
      </c>
      <c r="AD201" s="106">
        <f>SUM(AD28,AD136,AD137,AD117)</f>
        <v>5</v>
      </c>
      <c r="AE201" s="107">
        <f>SUM(AE28,AE136,AE137,AE117)</f>
        <v>0</v>
      </c>
      <c r="AF201" s="108">
        <f>SUM(AF28,AF136,AF137,AF117)</f>
        <v>0</v>
      </c>
      <c r="AG201" s="105">
        <f t="shared" si="2094"/>
        <v>0</v>
      </c>
      <c r="AH201" s="106">
        <f>SUM(AH28,AH136,AH137,AH117)</f>
        <v>0</v>
      </c>
      <c r="AI201" s="107">
        <f>SUM(AI28,AI136,AI137,AI117)</f>
        <v>0</v>
      </c>
      <c r="AJ201" s="108">
        <f>SUM(AJ28,AJ136,AJ137,AJ117)</f>
        <v>0</v>
      </c>
      <c r="AK201" s="105">
        <f t="shared" si="2095"/>
        <v>1073.0069999999998</v>
      </c>
      <c r="AL201" s="106">
        <f>SUM(AL28,AL136,AL137,AL117)</f>
        <v>347.19900000000001</v>
      </c>
      <c r="AM201" s="107">
        <f>SUM(AM28,AM136,AM137,AM117)</f>
        <v>88.48</v>
      </c>
      <c r="AN201" s="108">
        <f>SUM(AN28,AN136,AN137,AN117)</f>
        <v>725.80799999999988</v>
      </c>
      <c r="AO201" s="105">
        <f t="shared" si="2096"/>
        <v>776.02799999999979</v>
      </c>
      <c r="AP201" s="106">
        <f>SUM(AP28,AP136,AP137,AP117)</f>
        <v>72.718999999999994</v>
      </c>
      <c r="AQ201" s="107">
        <f>SUM(AQ28,AQ136,AQ137,AQ117)</f>
        <v>9.07</v>
      </c>
      <c r="AR201" s="108">
        <f>SUM(AR28,AR136,AR137,AR117)</f>
        <v>703.30899999999986</v>
      </c>
      <c r="AS201" s="105">
        <f t="shared" si="2097"/>
        <v>0</v>
      </c>
      <c r="AT201" s="106">
        <f>SUM(AT28,AT136,AT137,AT117)</f>
        <v>6.41</v>
      </c>
      <c r="AU201" s="107">
        <f>SUM(AU28,AU136,AU137,AU117)</f>
        <v>0</v>
      </c>
      <c r="AV201" s="108">
        <f>SUM(AV28,AV136,AV137,AV117)</f>
        <v>-6.41</v>
      </c>
      <c r="AW201" s="105">
        <f t="shared" si="2098"/>
        <v>0</v>
      </c>
      <c r="AX201" s="106">
        <f>SUM(AX28,AX136,AX137,AX117)</f>
        <v>6.41</v>
      </c>
      <c r="AY201" s="107">
        <f>SUM(AY28,AY136,AY137,AY117)</f>
        <v>0</v>
      </c>
      <c r="AZ201" s="108">
        <f>SUM(AZ28,AZ136,AZ137,AZ117)</f>
        <v>-6.41</v>
      </c>
      <c r="BA201" s="105">
        <f t="shared" si="2099"/>
        <v>1073.0069999999998</v>
      </c>
      <c r="BB201" s="106">
        <f>SUM(BB28,BB136,BB137,BB117)</f>
        <v>353.60899999999998</v>
      </c>
      <c r="BC201" s="107">
        <f>SUM(BC28,BC136,BC137,BC117)</f>
        <v>88.48</v>
      </c>
      <c r="BD201" s="108">
        <f>SUM(BD28,BD136,BD137,BD117)</f>
        <v>719.39799999999991</v>
      </c>
      <c r="BE201" s="105">
        <f t="shared" si="2100"/>
        <v>776.02799999999991</v>
      </c>
      <c r="BF201" s="106">
        <f>SUM(BF28,BF136,BF137,BF117)</f>
        <v>79.129000000000005</v>
      </c>
      <c r="BG201" s="107">
        <f>SUM(BG28,BG136,BG137,BG117)</f>
        <v>9.07</v>
      </c>
      <c r="BH201" s="108">
        <f>SUM(BH28,BH136,BH137,BH117)</f>
        <v>696.89899999999989</v>
      </c>
      <c r="BI201" s="105">
        <f t="shared" si="2101"/>
        <v>0</v>
      </c>
      <c r="BJ201" s="106">
        <f>SUM(BJ28,BJ136,BJ137,BJ117)</f>
        <v>0</v>
      </c>
      <c r="BK201" s="107">
        <f>SUM(BK28,BK136,BK137,BK117)</f>
        <v>0</v>
      </c>
      <c r="BL201" s="108">
        <f>SUM(BL28,BL136,BL137,BL117)</f>
        <v>0</v>
      </c>
      <c r="BM201" s="105">
        <f t="shared" si="2102"/>
        <v>0</v>
      </c>
      <c r="BN201" s="106">
        <f>SUM(BN28,BN136,BN137,BN117)</f>
        <v>0</v>
      </c>
      <c r="BO201" s="107">
        <f>SUM(BO28,BO136,BO137,BO117)</f>
        <v>0</v>
      </c>
      <c r="BP201" s="108">
        <f>SUM(BP28,BP136,BP137,BP117)</f>
        <v>0</v>
      </c>
      <c r="BQ201" s="105">
        <f t="shared" si="2103"/>
        <v>1073.0069999999998</v>
      </c>
      <c r="BR201" s="106">
        <f>SUM(BR28,BR136,BR137,BR117)</f>
        <v>353.60899999999998</v>
      </c>
      <c r="BS201" s="107">
        <f>SUM(BS28,BS136,BS137,BS117)</f>
        <v>88.48</v>
      </c>
      <c r="BT201" s="108">
        <f>SUM(BT28,BT136,BT137,BT117)</f>
        <v>719.39799999999991</v>
      </c>
      <c r="BU201" s="105">
        <f t="shared" si="2104"/>
        <v>776.02799999999991</v>
      </c>
      <c r="BV201" s="106">
        <f>SUM(BV28,BV136,BV137,BV117)</f>
        <v>79.129000000000005</v>
      </c>
      <c r="BW201" s="107">
        <f>SUM(BW28,BW136,BW137,BW117)</f>
        <v>9.07</v>
      </c>
      <c r="BX201" s="108">
        <f>SUM(BX28,BX136,BX137,BX117)</f>
        <v>696.89899999999989</v>
      </c>
      <c r="BY201" s="105">
        <f t="shared" si="2105"/>
        <v>0</v>
      </c>
      <c r="BZ201" s="106">
        <f>SUM(BZ28,BZ136,BZ137,BZ117)</f>
        <v>-1</v>
      </c>
      <c r="CA201" s="107">
        <f>SUM(CA28,CA136,CA137,CA117)</f>
        <v>0</v>
      </c>
      <c r="CB201" s="108">
        <f>SUM(CB28,CB136,CB137,CB117)</f>
        <v>1</v>
      </c>
      <c r="CC201" s="105">
        <f t="shared" si="2106"/>
        <v>0</v>
      </c>
      <c r="CD201" s="106">
        <f>SUM(CD28,CD136,CD137,CD117)</f>
        <v>0</v>
      </c>
      <c r="CE201" s="107">
        <f>SUM(CE28,CE136,CE137,CE117)</f>
        <v>0</v>
      </c>
      <c r="CF201" s="108">
        <f>SUM(CF28,CF136,CF137,CF117)</f>
        <v>0</v>
      </c>
      <c r="CG201" s="105">
        <f t="shared" si="2107"/>
        <v>1073.0069999999998</v>
      </c>
      <c r="CH201" s="106">
        <f>SUM(CH28,CH136,CH137,CH117)</f>
        <v>352.60899999999998</v>
      </c>
      <c r="CI201" s="107">
        <f>SUM(CI28,CI136,CI137,CI117)</f>
        <v>88.48</v>
      </c>
      <c r="CJ201" s="108">
        <f>SUM(CJ28,CJ136,CJ137,CJ117)</f>
        <v>720.39799999999991</v>
      </c>
      <c r="CK201" s="105">
        <f t="shared" si="2108"/>
        <v>776.02799999999991</v>
      </c>
      <c r="CL201" s="106">
        <f>SUM(CL28,CL136,CL137,CL117)</f>
        <v>79.129000000000005</v>
      </c>
      <c r="CM201" s="107">
        <f>SUM(CM28,CM136,CM137,CM117)</f>
        <v>9.07</v>
      </c>
      <c r="CN201" s="108">
        <f>SUM(CN28,CN136,CN137,CN117)</f>
        <v>696.89899999999989</v>
      </c>
      <c r="CO201" s="105">
        <f t="shared" si="2109"/>
        <v>1.1749999999999998</v>
      </c>
      <c r="CP201" s="106">
        <f>SUM(CP28,CP136,CP137,CP117)</f>
        <v>6.3679999999999994</v>
      </c>
      <c r="CQ201" s="107">
        <f>SUM(CQ28,CQ136,CQ137,CQ117)</f>
        <v>6.5260000000000007</v>
      </c>
      <c r="CR201" s="108">
        <f>SUM(CR28,CR136,CR137,CR117)</f>
        <v>-5.1929999999999996</v>
      </c>
      <c r="CS201" s="105">
        <f t="shared" si="2110"/>
        <v>1.0750000000000002</v>
      </c>
      <c r="CT201" s="106">
        <f>SUM(CT28,CT136,CT137,CT117)</f>
        <v>6.2679999999999998</v>
      </c>
      <c r="CU201" s="107">
        <f>SUM(CU28,CU136,CU137,CU117)</f>
        <v>1.0620000000000001</v>
      </c>
      <c r="CV201" s="108">
        <f>SUM(CV28,CV136,CV137,CV117)</f>
        <v>-5.1929999999999996</v>
      </c>
      <c r="CW201" s="105">
        <f t="shared" si="2111"/>
        <v>1074.1819999999998</v>
      </c>
      <c r="CX201" s="106">
        <f>SUM(CX28,CX136,CX137,CX117)</f>
        <v>358.97699999999998</v>
      </c>
      <c r="CY201" s="107">
        <f>SUM(CY28,CY136,CY137,CY117)</f>
        <v>95.006</v>
      </c>
      <c r="CZ201" s="108">
        <f>SUM(CZ28,CZ136,CZ137,CZ117)</f>
        <v>715.20499999999993</v>
      </c>
      <c r="DA201" s="105">
        <f t="shared" si="2112"/>
        <v>777.10299999999984</v>
      </c>
      <c r="DB201" s="106">
        <f>SUM(DB28,DB136,DB137,DB117)</f>
        <v>85.396999999999991</v>
      </c>
      <c r="DC201" s="107">
        <f>SUM(DC28,DC136,DC137,DC117)</f>
        <v>10.132</v>
      </c>
      <c r="DD201" s="108">
        <f>SUM(DD28,DD136,DD137,DD117)</f>
        <v>691.7059999999999</v>
      </c>
      <c r="DE201" s="105">
        <f t="shared" si="2113"/>
        <v>0</v>
      </c>
      <c r="DF201" s="106">
        <f>SUM(DF28,DF136,DF137,DF117)</f>
        <v>0</v>
      </c>
      <c r="DG201" s="107">
        <f>SUM(DG28,DG136,DG137,DG117)</f>
        <v>0</v>
      </c>
      <c r="DH201" s="108">
        <f>SUM(DH28,DH136,DH137,DH117)</f>
        <v>0</v>
      </c>
      <c r="DI201" s="105">
        <f t="shared" si="2114"/>
        <v>0</v>
      </c>
      <c r="DJ201" s="106">
        <f>SUM(DJ28,DJ136,DJ137,DJ117)</f>
        <v>0</v>
      </c>
      <c r="DK201" s="107">
        <f>SUM(DK28,DK136,DK137,DK117)</f>
        <v>0</v>
      </c>
      <c r="DL201" s="108">
        <f>SUM(DL28,DL136,DL137,DL117)</f>
        <v>0</v>
      </c>
      <c r="DM201" s="105">
        <f t="shared" si="2115"/>
        <v>1074.1819999999998</v>
      </c>
      <c r="DN201" s="106">
        <f>SUM(DN28,DN136,DN137,DN117)</f>
        <v>358.97699999999998</v>
      </c>
      <c r="DO201" s="107">
        <f>SUM(DO28,DO136,DO137,DO117)</f>
        <v>95.006</v>
      </c>
      <c r="DP201" s="108">
        <f>SUM(DP28,DP136,DP137,DP117)</f>
        <v>715.20499999999993</v>
      </c>
      <c r="DQ201" s="105">
        <f t="shared" si="2116"/>
        <v>777.10299999999984</v>
      </c>
      <c r="DR201" s="106">
        <f>SUM(DR28,DR136,DR137,DR117)</f>
        <v>85.396999999999991</v>
      </c>
      <c r="DS201" s="107">
        <f>SUM(DS28,DS136,DS137,DS117)</f>
        <v>10.132</v>
      </c>
      <c r="DT201" s="108">
        <f>SUM(DT28,DT136,DT137,DT117)</f>
        <v>691.7059999999999</v>
      </c>
      <c r="DU201" s="105">
        <f t="shared" si="2117"/>
        <v>12</v>
      </c>
      <c r="DV201" s="106">
        <f>SUM(DV28,DV136,DV137,DV117)</f>
        <v>7</v>
      </c>
      <c r="DW201" s="107">
        <f>SUM(DW28,DW136,DW137,DW117)</f>
        <v>-0.13700000000000001</v>
      </c>
      <c r="DX201" s="108">
        <f>SUM(DX28,DX136,DX137,DX117)</f>
        <v>5</v>
      </c>
      <c r="DY201" s="105">
        <f t="shared" si="2118"/>
        <v>0</v>
      </c>
      <c r="DZ201" s="106">
        <f>SUM(DZ28,DZ136,DZ137,DZ117)</f>
        <v>0</v>
      </c>
      <c r="EA201" s="107">
        <f>SUM(EA28,EA136,EA137,EA117)</f>
        <v>0</v>
      </c>
      <c r="EB201" s="108">
        <f>SUM(EB28,EB136,EB137,EB117)</f>
        <v>0</v>
      </c>
      <c r="EC201" s="105">
        <f t="shared" si="2119"/>
        <v>1086.1819999999998</v>
      </c>
      <c r="ED201" s="106">
        <f>SUM(ED28,ED136,ED137,ED117)</f>
        <v>365.97699999999998</v>
      </c>
      <c r="EE201" s="107">
        <f>SUM(EE28,EE136,EE137,EE117)</f>
        <v>94.869</v>
      </c>
      <c r="EF201" s="108">
        <f>SUM(EF28,EF136,EF137,EF117)</f>
        <v>720.20499999999993</v>
      </c>
      <c r="EG201" s="105">
        <f t="shared" si="2120"/>
        <v>777.10299999999984</v>
      </c>
      <c r="EH201" s="106">
        <f>SUM(EH28,EH136,EH137,EH117)</f>
        <v>85.396999999999991</v>
      </c>
      <c r="EI201" s="107">
        <f>SUM(EI28,EI136,EI137,EI117)</f>
        <v>10.132</v>
      </c>
      <c r="EJ201" s="108">
        <f>SUM(EJ28,EJ136,EJ137,EJ117)</f>
        <v>691.7059999999999</v>
      </c>
      <c r="EK201" s="163">
        <f t="shared" si="1402"/>
        <v>610.38700000000017</v>
      </c>
      <c r="EL201" s="163">
        <f t="shared" si="1403"/>
        <v>592.21200000000022</v>
      </c>
      <c r="EM201" s="105">
        <f t="shared" si="2086"/>
        <v>1678.394</v>
      </c>
      <c r="EN201" s="106">
        <f>SUM(EN28,EN136,EN137,EN117)</f>
        <v>464.78000000000003</v>
      </c>
      <c r="EO201" s="107">
        <f>SUM(EO28,EO136,EO137,EO117)</f>
        <v>105.477</v>
      </c>
      <c r="EP201" s="108">
        <f>SUM(EP28,EP136,EP137,EP117)</f>
        <v>1213.614</v>
      </c>
      <c r="EQ201" s="105">
        <f t="shared" si="2121"/>
        <v>1162.144</v>
      </c>
      <c r="ER201" s="106">
        <f>SUM(ER28,ER136,ER137,ER117)</f>
        <v>78.53</v>
      </c>
      <c r="ES201" s="107">
        <f>SUM(ES28,ES136,ES137,ES117)</f>
        <v>10.856999999999999</v>
      </c>
      <c r="ET201" s="108">
        <f>SUM(ET28,ET136,ET137,ET117)</f>
        <v>1083.614</v>
      </c>
    </row>
    <row r="202" spans="1:150" ht="24" customHeight="1" thickBot="1" x14ac:dyDescent="0.3">
      <c r="A202" s="15"/>
      <c r="B202" s="70" t="s">
        <v>49</v>
      </c>
      <c r="C202" s="708">
        <v>10</v>
      </c>
      <c r="D202" s="709"/>
      <c r="E202" s="130">
        <f>SUM(H202,F202)</f>
        <v>3532.1640000000007</v>
      </c>
      <c r="F202" s="131">
        <f>SUM(F161,F138,F31:F33,F176,F169,F149,F43,F102,F75,F118,F82,F109,F95,F89,F63,F49,F69,F56,F76)</f>
        <v>1488.2930000000003</v>
      </c>
      <c r="G202" s="132">
        <f>SUM(G161,G138,G31:G33,G176,G169,G149,G43,G102,G75,G118,G82,G109,G95,G89,G63)</f>
        <v>49.86</v>
      </c>
      <c r="H202" s="133">
        <f>SUM(H161,H138,H31:H33,H176,H169,H149,H43,H102,H75,H118,H82,H109,H95,H89,H63,H49,H69,H56,H76,H96)</f>
        <v>2043.8710000000001</v>
      </c>
      <c r="I202" s="130">
        <f>SUM(L202,J202)</f>
        <v>2020.4599999999998</v>
      </c>
      <c r="J202" s="131">
        <f>SUM(J161,J138,J31:J33,J176,J169,J149,J43,J102,J75,J118,J82,J109,J95,J89,J63,J49,J69,J56,J76)</f>
        <v>703.49900000000002</v>
      </c>
      <c r="K202" s="132">
        <f>SUM(K161,K138,K31:K33,K176,K169,K149,K43,K102,K75,K118,K82,K109,K95,K89,K63)</f>
        <v>26.31</v>
      </c>
      <c r="L202" s="133">
        <f>SUM(L161,L138,L31:L33,L176,L169,L149,L43,L102,L75,L118,L82,L109,L95,L89,L63,L49,L69,L56,L76,L96)</f>
        <v>1316.9609999999998</v>
      </c>
      <c r="M202" s="130">
        <f>SUM(P202,N202)</f>
        <v>0</v>
      </c>
      <c r="N202" s="131">
        <f>SUM(N161,N138,N31:N33,N176,N169,N149,N43,N102,N75,N118,N82,N109,N95,N89,N63,N49,N69,N56,N76)</f>
        <v>2</v>
      </c>
      <c r="O202" s="132">
        <f>SUM(O161,O138,O31:O33,O176,O169,O149,O43,O102,O75,O118,O82,O109,O95,O89,O63)</f>
        <v>0</v>
      </c>
      <c r="P202" s="133">
        <f>SUM(P161,P138,P31:P33,P176,P169,P149,P43,P102,P75,P118,P82,P109,P95,P89,P63,P49,P69,P56,P76,P96)</f>
        <v>-2</v>
      </c>
      <c r="Q202" s="130">
        <f>SUM(T202,R202)</f>
        <v>0</v>
      </c>
      <c r="R202" s="131">
        <f>SUM(R161,R138,R31:R33,R176,R169,R149,R43,R102,R75,R118,R82,R109,R95,R89,R63,R49,R69,R56,R76)</f>
        <v>0</v>
      </c>
      <c r="S202" s="132">
        <f>SUM(S161,S138,S31:S33,S176,S169,S149,S43,S102,S75,S118,S82,S109,S95,S89,S63)</f>
        <v>0</v>
      </c>
      <c r="T202" s="133">
        <f>SUM(T161,T138,T31:T33,T176,T169,T149,T43,T102,T75,T118,T82,T109,T95,T89,T63,T49,T69,T56,T76,T96)</f>
        <v>0</v>
      </c>
      <c r="U202" s="130">
        <f>SUM(X202,V202)</f>
        <v>3532.1640000000007</v>
      </c>
      <c r="V202" s="131">
        <f>SUM(V161,V138,V31:V33,V176,V169,V149,V43,V102,V75,V118,V82,V109,V95,V89,V63,V49,V69,V56,V76)</f>
        <v>1490.2930000000003</v>
      </c>
      <c r="W202" s="132">
        <f>SUM(W161,W138,W31:W33,W176,W169,W149,W43,W102,W75,W118,W82,W109,W95,W89,W63)</f>
        <v>49.86</v>
      </c>
      <c r="X202" s="133">
        <f>SUM(X161,X138,X31:X33,X176,X169,X149,X43,X102,X75,X118,X82,X109,X95,X89,X63,X49,X69,X56,X76,X96)</f>
        <v>2041.8710000000001</v>
      </c>
      <c r="Y202" s="130">
        <f>SUM(AB202,Z202)</f>
        <v>2020.4599999999998</v>
      </c>
      <c r="Z202" s="131">
        <f>SUM(Z161,Z138,Z31:Z33,Z176,Z169,Z149,Z43,Z102,Z75,Z118,Z82,Z109,Z95,Z89,Z63,Z49,Z69,Z56,Z76)</f>
        <v>703.49900000000002</v>
      </c>
      <c r="AA202" s="132">
        <f>SUM(AA161,AA138,AA31:AA33,AA176,AA169,AA149,AA43,AA102,AA75,AA118,AA82,AA109,AA95,AA89,AA63)</f>
        <v>26.31</v>
      </c>
      <c r="AB202" s="133">
        <f>SUM(AB161,AB138,AB31:AB33,AB176,AB169,AB149,AB43,AB102,AB75,AB118,AB82,AB109,AB95,AB89,AB63,AB49,AB69,AB56,AB76,AB96)</f>
        <v>1316.9609999999998</v>
      </c>
      <c r="AC202" s="130">
        <f>SUM(AF202,AD202)</f>
        <v>0.55000000000000004</v>
      </c>
      <c r="AD202" s="131">
        <f>SUM(AD161,AD138,AD31:AD33,AD176,AD169,AD149,AD43,AD102,AD75,AD118,AD82,AD109,AD95,AD89,AD63,AD49,AD69,AD56,AD76,AD83)</f>
        <v>0</v>
      </c>
      <c r="AE202" s="132">
        <f>SUM(AE161,AE138,AE31:AE33,AE176,AE169,AE149,AE43,AE102,AE75,AE118,AE82,AE109,AE95,AE89,AE63)</f>
        <v>0</v>
      </c>
      <c r="AF202" s="133">
        <f>SUM(AF161,AF138,AF31:AF33,AF176,AF169,AF149,AF43,AF102,AF75,AF118,AF82,AF109,AF95,AF89,AF63,AF49,AF69,AF56,AF76,AF96,AF83)</f>
        <v>0.55000000000000004</v>
      </c>
      <c r="AG202" s="130">
        <f>SUM(AJ202,AH202)</f>
        <v>0</v>
      </c>
      <c r="AH202" s="131">
        <f>SUM(AH161,AH138,AH31:AH33,AH176,AH169,AH149,AH43,AH102,AH75,AH118,AH82,AH109,AH95,AH89,AH63,AH49,AH69,AH56,AH76)</f>
        <v>0</v>
      </c>
      <c r="AI202" s="132">
        <f>SUM(AI161,AI138,AI31:AI33,AI176,AI169,AI149,AI43,AI102,AI75,AI118,AI82,AI109,AI95,AI89,AI63)</f>
        <v>0</v>
      </c>
      <c r="AJ202" s="133">
        <f>SUM(AJ161,AJ138,AJ31:AJ33,AJ176,AJ169,AJ149,AJ43,AJ102,AJ75,AJ118,AJ82,AJ109,AJ95,AJ89,AJ63,AJ49,AJ69,AJ56,AJ76,AJ96)</f>
        <v>0</v>
      </c>
      <c r="AK202" s="130">
        <f>SUM(AN202,AL202)</f>
        <v>3532.7140000000004</v>
      </c>
      <c r="AL202" s="131">
        <f>SUM(AL161,AL138,AL31:AL33,AL176,AL169,AL149,AL43,AL102,AL75,AL118,AL82,AL109,AL95,AL89,AL63,AL49,AL69,AL56,AL76)</f>
        <v>1490.2930000000006</v>
      </c>
      <c r="AM202" s="132">
        <f>SUM(AM161,AM138,AM31:AM33,AM176,AM169,AM149,AM43,AM102,AM75,AM118,AM82,AM109,AM95,AM89,AM63)</f>
        <v>49.86</v>
      </c>
      <c r="AN202" s="133">
        <f>SUM(AN161,AN138,AN31:AN33,AN176,AN169,AN149,AN43,AN102,AN75,AN118,AN82,AN109,AN95,AN89,AN63,AN49,AN69,AN56,AN76,AN96,AN83)</f>
        <v>2042.4209999999998</v>
      </c>
      <c r="AO202" s="130">
        <f>SUM(AR202,AP202)</f>
        <v>2020.4599999999998</v>
      </c>
      <c r="AP202" s="131">
        <f>SUM(AP161,AP138,AP31:AP33,AP176,AP169,AP149,AP43,AP102,AP75,AP118,AP82,AP109,AP95,AP89,AP63,AP49,AP69,AP56,AP76)</f>
        <v>703.49900000000002</v>
      </c>
      <c r="AQ202" s="132">
        <f>SUM(AQ161,AQ138,AQ31:AQ33,AQ176,AQ169,AQ149,AQ43,AQ102,AQ75,AQ118,AQ82,AQ109,AQ95,AQ89,AQ63)</f>
        <v>26.31</v>
      </c>
      <c r="AR202" s="133">
        <f>SUM(AR161,AR138,AR31:AR33,AR176,AR169,AR149,AR43,AR102,AR75,AR118,AR82,AR109,AR95,AR89,AR63,AR49,AR69,AR56,AR76,AR96)</f>
        <v>1316.9609999999998</v>
      </c>
      <c r="AS202" s="130">
        <f>SUM(AV202,AT202)</f>
        <v>0</v>
      </c>
      <c r="AT202" s="131">
        <f>SUM(AT161,AT138,AT31:AT33,AT176,AT169,AT149,AT43,AT102,AT75,AT118,AT82,AT109,AT95,AT89,AT63,AT49,AT69,AT56,AT76,AT83)</f>
        <v>5.7840000000000025</v>
      </c>
      <c r="AU202" s="132">
        <f>SUM(AU161,AU138,AU31:AU33,AU176,AU169,AU149,AU43,AU102,AU75,AU118,AU82,AU109,AU95,AU89,AU63)</f>
        <v>0</v>
      </c>
      <c r="AV202" s="133">
        <f>SUM(AV161,AV138,AV31:AV33,AV176,AV169,AV149,AV43,AV102,AV75,AV118,AV82,AV109,AV95,AV89,AV63,AV49,AV69,AV56,AV76,AV96,AV83)</f>
        <v>-5.7839999999999989</v>
      </c>
      <c r="AW202" s="130">
        <f>SUM(AZ202,AX202)</f>
        <v>0</v>
      </c>
      <c r="AX202" s="131">
        <f>SUM(AX161,AX138,AX31:AX33,AX176,AX169,AX149,AX43,AX102,AX75,AX118,AX82,AX109,AX95,AX89,AX63,AX49,AX69,AX56,AX76)</f>
        <v>0</v>
      </c>
      <c r="AY202" s="132">
        <f>SUM(AY161,AY138,AY31:AY33,AY176,AY169,AY149,AY43,AY102,AY75,AY118,AY82,AY109,AY95,AY89,AY63)</f>
        <v>0</v>
      </c>
      <c r="AZ202" s="133">
        <f>SUM(AZ161,AZ138,AZ31:AZ33,AZ176,AZ169,AZ149,AZ43,AZ102,AZ75,AZ118,AZ82,AZ109,AZ95,AZ89,AZ63,AZ49,AZ69,AZ56,AZ76,AZ96)</f>
        <v>0</v>
      </c>
      <c r="BA202" s="130">
        <f>SUM(BD202,BB202)</f>
        <v>3532.7140000000004</v>
      </c>
      <c r="BB202" s="131">
        <f>SUM(BB161,BB138,BB31:BB33,BB176,BB169,BB149,BB43,BB102,BB75,BB118,BB82,BB109,BB95,BB89,BB63,BB49,BB69,BB56,BB76)</f>
        <v>1496.0770000000007</v>
      </c>
      <c r="BC202" s="132">
        <f>SUM(BC161,BC138,BC31:BC33,BC176,BC169,BC149,BC43,BC102,BC75,BC118,BC82,BC109,BC95,BC89,BC63)</f>
        <v>49.86</v>
      </c>
      <c r="BD202" s="133">
        <f>SUM(BD161,BD138,BD31:BD33,BD176,BD169,BD149,BD43,BD102,BD75,BD118,BD82,BD109,BD95,BD89,BD63,BD49,BD69,BD56,BD76,BD96,BD83)</f>
        <v>2036.6369999999997</v>
      </c>
      <c r="BE202" s="130">
        <f>SUM(BH202,BF202)</f>
        <v>2020.4599999999998</v>
      </c>
      <c r="BF202" s="131">
        <f>SUM(BF161,BF138,BF31:BF33,BF176,BF169,BF149,BF43,BF102,BF75,BF118,BF82,BF109,BF95,BF89,BF63,BF49,BF69,BF56,BF76)</f>
        <v>703.49900000000002</v>
      </c>
      <c r="BG202" s="132">
        <f>SUM(BG161,BG138,BG31:BG33,BG176,BG169,BG149,BG43,BG102,BG75,BG118,BG82,BG109,BG95,BG89,BG63)</f>
        <v>26.31</v>
      </c>
      <c r="BH202" s="133">
        <f>SUM(BH161,BH138,BH31:BH33,BH176,BH169,BH149,BH43,BH102,BH75,BH118,BH82,BH109,BH95,BH89,BH63,BH49,BH69,BH56,BH76,BH96)</f>
        <v>1316.9609999999998</v>
      </c>
      <c r="BI202" s="130">
        <f>SUM(BL202,BJ202)</f>
        <v>56.24799999999999</v>
      </c>
      <c r="BJ202" s="131">
        <f>SUM(BJ161,BJ138,BJ31:BJ33,BJ176,BJ169,BJ149,BJ43,BJ102,BJ75,BJ118,BJ82,BJ109,BJ95,BJ89,BJ63,BJ49,BJ69,BJ56,BJ76,BJ83)</f>
        <v>56.480999999999995</v>
      </c>
      <c r="BK202" s="132">
        <f>SUM(BK161,BK138,BK31:BK33,BK176,BK169,BK149,BK43,BK102,BK75,BK118,BK82,BK109,BK95,BK89,BK63)</f>
        <v>0</v>
      </c>
      <c r="BL202" s="133">
        <f>SUM(BL161,BL138,BL31:BL33,BL176,BL169,BL149,BL43,BL102,BL75,BL118,BL82,BL109,BL95,BL89,BL63,BL49,BL69,BL56,BL76,BL96,BL83)</f>
        <v>-0.23300000000000054</v>
      </c>
      <c r="BM202" s="130">
        <f>SUM(BP202,BN202)</f>
        <v>16.399999999999999</v>
      </c>
      <c r="BN202" s="131">
        <f>SUM(BN161,BN138,BN31:BN33,BN176,BN169,BN149,BN43,BN102,BN75,BN118,BN82,BN109,BN95,BN89,BN63,BN49,BN69,BN56,BN76)</f>
        <v>28.902999999999999</v>
      </c>
      <c r="BO202" s="132">
        <f>SUM(BO161,BO138,BO31:BO33,BO176,BO169,BO149,BO43,BO102,BO75,BO118,BO82,BO109,BO95,BO89,BO63)</f>
        <v>0</v>
      </c>
      <c r="BP202" s="133">
        <f>SUM(BP161,BP138,BP31:BP33,BP176,BP169,BP149,BP43,BP102,BP75,BP118,BP82,BP109,BP95,BP89,BP63,BP49,BP69,BP56,BP76,BP96)</f>
        <v>-12.503</v>
      </c>
      <c r="BQ202" s="130">
        <f>SUM(BT202,BR202)</f>
        <v>3588.9620000000004</v>
      </c>
      <c r="BR202" s="131">
        <f>SUM(BR161,BR138,BR31:BR33,BR176,BR169,BR149,BR43,BR102,BR75,BR118,BR82,BR109,BR95,BR89,BR63,BR49,BR69,BR56,BR76)</f>
        <v>1552.5580000000004</v>
      </c>
      <c r="BS202" s="132">
        <f>SUM(BS161,BS138,BS31:BS33,BS176,BS169,BS149,BS43,BS102,BS75,BS118,BS82,BS109,BS95,BS89,BS63)</f>
        <v>49.86</v>
      </c>
      <c r="BT202" s="133">
        <f>SUM(BT161,BT138,BT31:BT33,BT176,BT169,BT149,BT43,BT102,BT75,BT118,BT82,BT109,BT95,BT89,BT63,BT49,BT69,BT56,BT76,BT96,BT83)</f>
        <v>2036.404</v>
      </c>
      <c r="BU202" s="130">
        <f>SUM(BX202,BV202)</f>
        <v>2036.86</v>
      </c>
      <c r="BV202" s="131">
        <f>SUM(BV161,BV138,BV31:BV33,BV176,BV169,BV149,BV43,BV102,BV75,BV118,BV82,BV109,BV95,BV89,BV63,BV49,BV69,BV56,BV76)</f>
        <v>732.40200000000004</v>
      </c>
      <c r="BW202" s="132">
        <f>SUM(BW161,BW138,BW31:BW33,BW176,BW169,BW149,BW43,BW102,BW75,BW118,BW82,BW109,BW95,BW89,BW63)</f>
        <v>26.31</v>
      </c>
      <c r="BX202" s="133">
        <f>SUM(BX161,BX138,BX31:BX33,BX176,BX169,BX149,BX43,BX102,BX75,BX118,BX82,BX109,BX95,BX89,BX63,BX49,BX69,BX56,BX76,BX96)</f>
        <v>1304.4579999999999</v>
      </c>
      <c r="BY202" s="130">
        <f>SUM(CB202,BZ202)</f>
        <v>-10</v>
      </c>
      <c r="BZ202" s="131">
        <f>SUM(BZ161,BZ138,BZ31:BZ33,BZ176,BZ169,BZ149,BZ43,BZ102,BZ75,BZ118,BZ82,BZ109,BZ95,BZ89,BZ63,BZ49,BZ69,BZ56,BZ76,BZ83)</f>
        <v>-5.9160000000000004</v>
      </c>
      <c r="CA202" s="132">
        <f>SUM(CA161,CA138,CA31:CA33,CA176,CA169,CA149,CA43,CA102,CA75,CA118,CA82,CA109,CA95,CA89,CA63)</f>
        <v>0</v>
      </c>
      <c r="CB202" s="133">
        <f>SUM(CB161,CB138,CB31:CB33,CB176,CB169,CB149,CB43,CB102,CB75,CB118,CB82,CB109,CB95,CB89,CB63,CB49,CB69,CB56,CB76,CB96,CB83,CB155)</f>
        <v>-4.0839999999999987</v>
      </c>
      <c r="CC202" s="130">
        <f>SUM(CF202,CD202)</f>
        <v>0</v>
      </c>
      <c r="CD202" s="131">
        <f>SUM(CD161,CD138,CD31:CD33,CD176,CD169,CD149,CD43,CD102,CD75,CD118,CD82,CD109,CD95,CD89,CD63,CD49,CD69,CD56,CD76)</f>
        <v>-4.8600000000000003</v>
      </c>
      <c r="CE202" s="132">
        <f>SUM(CE161,CE138,CE31:CE33,CE176,CE169,CE149,CE43,CE102,CE75,CE118,CE82,CE109,CE95,CE89,CE63)</f>
        <v>0</v>
      </c>
      <c r="CF202" s="133">
        <f>SUM(CF161,CF138,CF31:CF33,CF176,CF169,CF149,CF43,CF102,CF75,CF118,CF82,CF109,CF95,CF89,CF63,CF49,CF69,CF56,CF76,CF96,CF155)</f>
        <v>4.8600000000000003</v>
      </c>
      <c r="CG202" s="130">
        <f>SUM(CJ202,CH202)</f>
        <v>3578.962</v>
      </c>
      <c r="CH202" s="131">
        <f>SUM(CH161,CH138,CH31:CH33,CH176,CH169,CH149,CH43,CH102,CH75,CH118,CH82,CH109,CH95,CH89,CH63,CH49,CH69,CH56,CH76)</f>
        <v>1546.6420000000003</v>
      </c>
      <c r="CI202" s="132">
        <f>SUM(CI161,CI138,CI31:CI33,CI176,CI169,CI149,CI43,CI102,CI75,CI118,CI82,CI109,CI95,CI89,CI63)</f>
        <v>49.86</v>
      </c>
      <c r="CJ202" s="133">
        <f>SUM(CJ161,CJ138,CJ31:CJ33,CJ176,CJ169,CJ149,CJ43,CJ102,CJ75,CJ118,CJ82,CJ109,CJ95,CJ89,CJ63,CJ49,CJ69,CJ56,CJ76,CJ96,CJ83,CJ155)</f>
        <v>2032.3199999999997</v>
      </c>
      <c r="CK202" s="130">
        <f>SUM(CN202,CL202)</f>
        <v>2036.8599999999997</v>
      </c>
      <c r="CL202" s="131">
        <f>SUM(CL161,CL138,CL31:CL33,CL176,CL169,CL149,CL43,CL102,CL75,CL118,CL82,CL109,CL95,CL89,CL63,CL49,CL69,CL56,CL76)</f>
        <v>727.54199999999992</v>
      </c>
      <c r="CM202" s="132">
        <f>SUM(CM161,CM138,CM31:CM33,CM176,CM169,CM149,CM43,CM102,CM75,CM118,CM82,CM109,CM95,CM89,CM63)</f>
        <v>26.31</v>
      </c>
      <c r="CN202" s="133">
        <f>SUM(CN161,CN138,CN31:CN33,CN176,CN169,CN149,CN43,CN102,CN75,CN118,CN82,CN109,CN95,CN89,CN63,CN49,CN69,CN56,CN76,CN96,CN155)</f>
        <v>1309.3179999999998</v>
      </c>
      <c r="CO202" s="130">
        <f>SUM(CR202,CP202)</f>
        <v>2.1780000000000013</v>
      </c>
      <c r="CP202" s="131">
        <f>SUM(CP161,CP138,CP31:CP33,CP176,CP169,CP149,CP43,CP102,CP75,CP118,CP82,CP109,CP95,CP89,CP63,CP49,CP69,CP56,CP76,CP83,CP103)</f>
        <v>-0.41399999999999881</v>
      </c>
      <c r="CQ202" s="132">
        <f>SUM(CQ161,CQ138,CQ31:CQ33,CQ176,CQ169,CQ149,CQ43,CQ102,CQ75,CQ118,CQ82,CQ109,CQ95,CQ89,CQ63)</f>
        <v>0</v>
      </c>
      <c r="CR202" s="133">
        <f>SUM(CR161,CR138,CR31:CR33,CR176,CR169,CR149,CR43,CR102,CR75,CR118,CR82,CR109,CR95,CR89,CR63,CR49,CR69,CR56,CR76,CR96,CR83,CR155,CR103)</f>
        <v>2.5920000000000001</v>
      </c>
      <c r="CS202" s="130">
        <f>SUM(CV202,CT202)</f>
        <v>-1.0750000000000002</v>
      </c>
      <c r="CT202" s="131">
        <f>SUM(CT161,CT138,CT31:CT33,CT176,CT169,CT149,CT43,CT102,CT75,CT118,CT82,CT109,CT95,CT89,CT63,CT49,CT69,CT56,CT76)</f>
        <v>0.58599999999999997</v>
      </c>
      <c r="CU202" s="132">
        <f>SUM(CU161,CU138,CU31:CU33,CU176,CU169,CU149,CU43,CU102,CU75,CU118,CU82,CU109,CU95,CU89,CU63)</f>
        <v>0</v>
      </c>
      <c r="CV202" s="133">
        <f>SUM(CV161,CV138,CV31:CV33,CV176,CV169,CV149,CV43,CV102,CV75,CV118,CV82,CV109,CV95,CV89,CV63,CV49,CV69,CV56,CV76,CV96,CV155)</f>
        <v>-1.661</v>
      </c>
      <c r="CW202" s="130">
        <f>SUM(CZ202,CX202)</f>
        <v>3581.1400000000003</v>
      </c>
      <c r="CX202" s="131">
        <f>SUM(CX161,CX138,CX31:CX33,CX176,CX169,CX149,CX43,CX102,CX75,CX118,CX82,CX109,CX95,CX89,CX63,CX49,CX69,CX56,CX76)</f>
        <v>1546.2280000000001</v>
      </c>
      <c r="CY202" s="132">
        <f>SUM(CY161,CY138,CY31:CY33,CY176,CY169,CY149,CY43,CY102,CY75,CY118,CY82,CY109,CY95,CY89,CY63)</f>
        <v>49.86</v>
      </c>
      <c r="CZ202" s="133">
        <f>SUM(CZ161,CZ138,CZ31:CZ33,CZ176,CZ169,CZ149,CZ43,CZ102,CZ75,CZ118,CZ82,CZ109,CZ95,CZ89,CZ63,CZ49,CZ69,CZ56,CZ76,CZ96,CZ83,CZ155,CZ103)</f>
        <v>2034.912</v>
      </c>
      <c r="DA202" s="130">
        <f>SUM(DD202,DB202)</f>
        <v>2035.7849999999996</v>
      </c>
      <c r="DB202" s="131">
        <f>SUM(DB161,DB138,DB31:DB33,DB176,DB169,DB149,DB43,DB102,DB75,DB118,DB82,DB109,DB95,DB89,DB63,DB49,DB69,DB56,DB76)</f>
        <v>728.12799999999993</v>
      </c>
      <c r="DC202" s="132">
        <f>SUM(DC161,DC138,DC31:DC33,DC176,DC169,DC149,DC43,DC102,DC75,DC118,DC82,DC109,DC95,DC89,DC63)</f>
        <v>26.31</v>
      </c>
      <c r="DD202" s="133">
        <f>SUM(DD161,DD138,DD31:DD33,DD176,DD169,DD149,DD43,DD102,DD75,DD118,DD82,DD109,DD95,DD89,DD63,DD49,DD69,DD56,DD76,DD96,DD155)</f>
        <v>1307.6569999999997</v>
      </c>
      <c r="DE202" s="130">
        <f>SUM(DH202,DF202)</f>
        <v>-1.0420000000000016</v>
      </c>
      <c r="DF202" s="131">
        <f>SUM(DF161,DF138,DF31:DF33,DF176,DF169,DF149,DF43,DF102,DF75,DF118,DF82,DF109,DF95,DF89,DF63,DF49,DF69,DF56,DF76,DF83,DF103)</f>
        <v>-17.228999999999999</v>
      </c>
      <c r="DG202" s="132">
        <f>SUM(DG161,DG138,DG31:DG33,DG176,DG169,DG149,DG43,DG102,DG75,DG118,DG82,DG109,DG95,DG89,DG63)</f>
        <v>0</v>
      </c>
      <c r="DH202" s="133">
        <f>SUM(DH161,DH138,DH31:DH33,DH176,DH169,DH149,DH43,DH102,DH75,DH118,DH82,DH109,DH95,DH89,DH63,DH49,DH69,DH56,DH76,DH96,DH83,DH155,DH103)</f>
        <v>16.186999999999998</v>
      </c>
      <c r="DI202" s="130">
        <f>SUM(DL202,DJ202)</f>
        <v>0</v>
      </c>
      <c r="DJ202" s="131">
        <f>SUM(DJ161,DJ138,DJ31:DJ33,DJ176,DJ169,DJ149,DJ43,DJ102,DJ75,DJ118,DJ82,DJ109,DJ95,DJ89,DJ63,DJ49,DJ69,DJ56,DJ76)</f>
        <v>0</v>
      </c>
      <c r="DK202" s="132">
        <f>SUM(DK161,DK138,DK31:DK33,DK176,DK169,DK149,DK43,DK102,DK75,DK118,DK82,DK109,DK95,DK89,DK63)</f>
        <v>0</v>
      </c>
      <c r="DL202" s="133">
        <f>SUM(DL161,DL138,DL31:DL33,DL176,DL169,DL149,DL43,DL102,DL75,DL118,DL82,DL109,DL95,DL89,DL63,DL49,DL69,DL56,DL76,DL96,DL155)</f>
        <v>0</v>
      </c>
      <c r="DM202" s="130">
        <f>SUM(DP202,DN202)</f>
        <v>3580.098</v>
      </c>
      <c r="DN202" s="131">
        <f>SUM(DN161,DN138,DN31:DN33,DN176,DN169,DN149,DN43,DN102,DN75,DN118,DN82,DN109,DN95,DN89,DN63,DN49,DN69,DN56,DN76)</f>
        <v>1528.9989999999998</v>
      </c>
      <c r="DO202" s="132">
        <f>SUM(DO161,DO138,DO31:DO33,DO176,DO169,DO149,DO43,DO102,DO75,DO118,DO82,DO109,DO95,DO89,DO63)</f>
        <v>49.86</v>
      </c>
      <c r="DP202" s="133">
        <f>SUM(DP161,DP138,DP31:DP33,DP176,DP169,DP149,DP43,DP102,DP75,DP118,DP82,DP109,DP95,DP89,DP63,DP49,DP69,DP56,DP76,DP96,DP83,DP155,DP103)</f>
        <v>2051.0990000000002</v>
      </c>
      <c r="DQ202" s="130">
        <f>SUM(DT202,DR202)</f>
        <v>2035.7849999999996</v>
      </c>
      <c r="DR202" s="131">
        <f>SUM(DR161,DR138,DR31:DR33,DR176,DR169,DR149,DR43,DR102,DR75,DR118,DR82,DR109,DR95,DR89,DR63,DR49,DR69,DR56,DR76)</f>
        <v>728.12799999999993</v>
      </c>
      <c r="DS202" s="132">
        <f>SUM(DS161,DS138,DS31:DS33,DS176,DS169,DS149,DS43,DS102,DS75,DS118,DS82,DS109,DS95,DS89,DS63)</f>
        <v>26.31</v>
      </c>
      <c r="DT202" s="133">
        <f>SUM(DT161,DT138,DT31:DT33,DT176,DT169,DT149,DT43,DT102,DT75,DT118,DT82,DT109,DT95,DT89,DT63,DT49,DT69,DT56,DT76,DT96,DT155)</f>
        <v>1307.6569999999997</v>
      </c>
      <c r="DU202" s="130">
        <f>SUM(DX202,DV202)</f>
        <v>16.843</v>
      </c>
      <c r="DV202" s="131">
        <f>SUM(DV161,DV138,DV31:DV33,DV176,DV169,DV149,DV43,DV102,DV75,DV118,DV82,DV109,DV95,DV89,DV63,DV49,DV69,DV56,DV76,DV83,DV103)</f>
        <v>17.638999999999999</v>
      </c>
      <c r="DW202" s="132">
        <f>SUM(DW161,DW138,DW31:DW33,DW176,DW169,DW149,DW43,DW102,DW75,DW118,DW82,DW109,DW95,DW89,DW63)</f>
        <v>0</v>
      </c>
      <c r="DX202" s="133">
        <f>SUM(DX161,DX138,DX31:DX33,DX176,DX169,DX149,DX43,DX102,DX75,DX118,DX82,DX109,DX95,DX89,DX63,DX49,DX69,DX56,DX76,DX96,DX83,DX155,DX103)</f>
        <v>-0.79599999999999982</v>
      </c>
      <c r="DY202" s="130">
        <f>SUM(EB202,DZ202)</f>
        <v>0</v>
      </c>
      <c r="DZ202" s="131">
        <f>SUM(DZ161,DZ138,DZ31:DZ33,DZ176,DZ169,DZ149,DZ43,DZ102,DZ75,DZ118,DZ82,DZ109,DZ95,DZ89,DZ63,DZ49,DZ69,DZ56,DZ76)</f>
        <v>0</v>
      </c>
      <c r="EA202" s="132">
        <f>SUM(EA161,EA138,EA31:EA33,EA176,EA169,EA149,EA43,EA102,EA75,EA118,EA82,EA109,EA95,EA89,EA63)</f>
        <v>0</v>
      </c>
      <c r="EB202" s="133">
        <f>SUM(EB161,EB138,EB31:EB33,EB176,EB169,EB149,EB43,EB102,EB75,EB118,EB82,EB109,EB95,EB89,EB63,EB49,EB69,EB56,EB76,EB96,EB155)</f>
        <v>0</v>
      </c>
      <c r="EC202" s="130">
        <f>SUM(EF202,ED202)</f>
        <v>3596.9409999999998</v>
      </c>
      <c r="ED202" s="131">
        <f>SUM(ED161,ED138,ED31:ED33,ED176,ED169,ED149,ED43,ED102,ED75,ED118,ED82,ED109,ED95,ED89,ED63,ED49,ED69,ED56,ED76)</f>
        <v>1546.6379999999999</v>
      </c>
      <c r="EE202" s="132">
        <f>SUM(EE161,EE138,EE31:EE33,EE176,EE169,EE149,EE43,EE102,EE75,EE118,EE82,EE109,EE95,EE89,EE63)</f>
        <v>49.86</v>
      </c>
      <c r="EF202" s="133">
        <f>SUM(EF161,EF138,EF31:EF33,EF176,EF169,EF149,EF43,EF102,EF75,EF118,EF82,EF109,EF95,EF89,EF63,EF49,EF69,EF56,EF76,EF96,EF83,EF155,EF103)</f>
        <v>2050.3029999999999</v>
      </c>
      <c r="EG202" s="130">
        <f>SUM(EJ202,EH202)</f>
        <v>2035.7849999999996</v>
      </c>
      <c r="EH202" s="131">
        <f>SUM(EH161,EH138,EH31:EH33,EH176,EH169,EH149,EH43,EH102,EH75,EH118,EH82,EH109,EH95,EH89,EH63,EH49,EH69,EH56,EH76)</f>
        <v>728.12799999999993</v>
      </c>
      <c r="EI202" s="132">
        <f>SUM(EI161,EI138,EI31:EI33,EI176,EI169,EI149,EI43,EI102,EI75,EI118,EI82,EI109,EI95,EI89,EI63)</f>
        <v>26.31</v>
      </c>
      <c r="EJ202" s="133">
        <f>SUM(EJ161,EJ138,EJ31:EJ33,EJ176,EJ169,EJ149,EJ43,EJ102,EJ75,EJ118,EJ82,EJ109,EJ95,EJ89,EJ63,EJ49,EJ69,EJ56,EJ76,EJ96,EJ155)</f>
        <v>1307.6569999999997</v>
      </c>
      <c r="EK202" s="210">
        <f t="shared" si="1402"/>
        <v>489.15299999999934</v>
      </c>
      <c r="EL202" s="210">
        <f t="shared" si="1403"/>
        <v>424.3760000000002</v>
      </c>
      <c r="EM202" s="130">
        <f>SUM(EP202,EN202)</f>
        <v>4021.317</v>
      </c>
      <c r="EN202" s="131">
        <f>SUM(EN161,EN138,EN31:EN33,EN176,EN169,EN149,EN43,EN102,EN75,EN118,EN82,EN109,EN95,EN89,EN63,EN49,EN69,EN56,EN76,EN96,EN150,EN119,EN50,EN139,EN83)</f>
        <v>1543.1670000000001</v>
      </c>
      <c r="EO202" s="132">
        <f>SUM(EO161,EO138,EO31:EO33,EO176,EO169,EO149,EO43,EO102,EO75,EO118,EO82,EO109,EO95,EO89,EO63)</f>
        <v>42.95</v>
      </c>
      <c r="EP202" s="133">
        <f>SUM(EP161,EP138,EP31:EP33,EP176,EP169,EP149,EP43,EP102,EP75,EP118,EP82,EP109,EP95,EP89,EP63,EP49,EP69,EP56,EP76,EP96,EP83,EP155,EP103)</f>
        <v>2478.1499999999996</v>
      </c>
      <c r="EQ202" s="130">
        <f>SUM(ET202,ER202)</f>
        <v>2709.7699999999995</v>
      </c>
      <c r="ER202" s="131">
        <f>SUM(ER161,ER138,ER31:ER33,ER176,ER169,ER149,ER43,ER102,ER75,ER118,ER82,ER109,ER95,ER89,ER63,ER49,ER69,ER56,ER76,ER139)</f>
        <v>990.91200000000003</v>
      </c>
      <c r="ES202" s="132">
        <f>SUM(ES161,ES138,ES31:ES33,ES176,ES169,ES149,ES43,ES102,ES75,ES118,ES82,ES109,ES95,ES89,ES63)</f>
        <v>8.5</v>
      </c>
      <c r="ET202" s="133">
        <f>SUM(ET161,ET138,ET31:ET33,ET176,ET169,ET149,ET43,ET102,ET75,ET118,ET82,ET109,ET95,ET89,ET63,ET49,ET69,ET56,ET76,ET96,ET155)</f>
        <v>1718.8579999999997</v>
      </c>
    </row>
    <row r="203" spans="1:150" ht="13.5" hidden="1" thickBot="1" x14ac:dyDescent="0.35">
      <c r="B203" s="211" t="s">
        <v>95</v>
      </c>
      <c r="E203" s="7">
        <f>SUM(E193:E202)</f>
        <v>20622.52</v>
      </c>
      <c r="F203" s="7">
        <f t="shared" ref="F203:H203" si="2122">SUM(F193:F202)</f>
        <v>16747.066999999999</v>
      </c>
      <c r="G203" s="7">
        <f t="shared" si="2122"/>
        <v>8743.6990000000005</v>
      </c>
      <c r="H203" s="7">
        <f t="shared" si="2122"/>
        <v>3875.453</v>
      </c>
      <c r="I203" s="7">
        <f>SUM(I193:I202)</f>
        <v>3413.5319999999992</v>
      </c>
      <c r="J203" s="7">
        <f t="shared" ref="J203:L203" si="2123">SUM(J193:J202)</f>
        <v>1013.3630000000001</v>
      </c>
      <c r="K203" s="7">
        <f t="shared" si="2123"/>
        <v>51.766999999999996</v>
      </c>
      <c r="L203" s="7">
        <f t="shared" si="2123"/>
        <v>2400.1689999999999</v>
      </c>
      <c r="M203" s="7">
        <f>SUM(M193:M202)</f>
        <v>0.9</v>
      </c>
      <c r="N203" s="7">
        <f t="shared" ref="N203:P203" si="2124">SUM(N193:N202)</f>
        <v>3.9</v>
      </c>
      <c r="O203" s="7">
        <f t="shared" si="2124"/>
        <v>0.28399999999999997</v>
      </c>
      <c r="P203" s="7">
        <f t="shared" si="2124"/>
        <v>-3</v>
      </c>
      <c r="Q203" s="7">
        <f>SUM(Q193:Q202)</f>
        <v>0</v>
      </c>
      <c r="R203" s="7">
        <f t="shared" ref="R203:T203" si="2125">SUM(R193:R202)</f>
        <v>1</v>
      </c>
      <c r="S203" s="7">
        <f t="shared" si="2125"/>
        <v>0</v>
      </c>
      <c r="T203" s="7">
        <f t="shared" si="2125"/>
        <v>-1</v>
      </c>
      <c r="U203" s="7">
        <f>SUM(U193:U202)</f>
        <v>20623.420000000002</v>
      </c>
      <c r="V203" s="7">
        <f t="shared" ref="V203:X203" si="2126">SUM(V193:V202)</f>
        <v>16750.967000000001</v>
      </c>
      <c r="W203" s="7">
        <f t="shared" si="2126"/>
        <v>8743.9830000000002</v>
      </c>
      <c r="X203" s="7">
        <f t="shared" si="2126"/>
        <v>3872.453</v>
      </c>
      <c r="Y203" s="7">
        <f>SUM(Y193:Y202)</f>
        <v>3413.5319999999992</v>
      </c>
      <c r="Z203" s="7">
        <f t="shared" ref="Z203:AB203" si="2127">SUM(Z193:Z202)</f>
        <v>1014.3630000000001</v>
      </c>
      <c r="AA203" s="7">
        <f t="shared" si="2127"/>
        <v>51.766999999999996</v>
      </c>
      <c r="AB203" s="7">
        <f t="shared" si="2127"/>
        <v>2399.1689999999999</v>
      </c>
      <c r="AC203" s="7">
        <f>SUM(AC193:AC202)</f>
        <v>5.1100000000000003</v>
      </c>
      <c r="AD203" s="7">
        <f t="shared" ref="AD203:AF203" si="2128">SUM(AD193:AD202)</f>
        <v>19.560000000000002</v>
      </c>
      <c r="AE203" s="7">
        <f t="shared" si="2128"/>
        <v>-5.3550000000000004</v>
      </c>
      <c r="AF203" s="7">
        <f t="shared" si="2128"/>
        <v>-14.45</v>
      </c>
      <c r="AG203" s="7">
        <f>SUM(AG193:AG202)</f>
        <v>0</v>
      </c>
      <c r="AH203" s="7">
        <f t="shared" ref="AH203:AJ203" si="2129">SUM(AH193:AH202)</f>
        <v>0</v>
      </c>
      <c r="AI203" s="7">
        <f t="shared" si="2129"/>
        <v>0</v>
      </c>
      <c r="AJ203" s="7">
        <f t="shared" si="2129"/>
        <v>0</v>
      </c>
      <c r="AK203" s="7">
        <f>SUM(AK193:AK202)</f>
        <v>20628.53</v>
      </c>
      <c r="AL203" s="7">
        <f t="shared" ref="AL203:AN203" si="2130">SUM(AL193:AL202)</f>
        <v>16770.526999999998</v>
      </c>
      <c r="AM203" s="7">
        <f t="shared" si="2130"/>
        <v>8738.6279999999988</v>
      </c>
      <c r="AN203" s="7">
        <f t="shared" si="2130"/>
        <v>3858.0029999999997</v>
      </c>
      <c r="AO203" s="7">
        <f>SUM(AO193:AO202)</f>
        <v>3413.5319999999992</v>
      </c>
      <c r="AP203" s="7">
        <f t="shared" ref="AP203:AR203" si="2131">SUM(AP193:AP202)</f>
        <v>1014.3630000000001</v>
      </c>
      <c r="AQ203" s="7">
        <f t="shared" si="2131"/>
        <v>51.766999999999996</v>
      </c>
      <c r="AR203" s="7">
        <f t="shared" si="2131"/>
        <v>2399.1689999999999</v>
      </c>
      <c r="AS203" s="7">
        <f>SUM(AS193:AS202)</f>
        <v>0.19200000000000061</v>
      </c>
      <c r="AT203" s="7">
        <f t="shared" ref="AT203:AV203" si="2132">SUM(AT193:AT202)</f>
        <v>15.419000000000004</v>
      </c>
      <c r="AU203" s="7">
        <f t="shared" si="2132"/>
        <v>-12.563000000000006</v>
      </c>
      <c r="AV203" s="7">
        <f t="shared" si="2132"/>
        <v>-15.226999999999999</v>
      </c>
      <c r="AW203" s="7">
        <f>SUM(AW193:AW202)</f>
        <v>0</v>
      </c>
      <c r="AX203" s="7">
        <f t="shared" ref="AX203:AZ203" si="2133">SUM(AX193:AX202)</f>
        <v>6.41</v>
      </c>
      <c r="AY203" s="7">
        <f t="shared" si="2133"/>
        <v>0</v>
      </c>
      <c r="AZ203" s="7">
        <f t="shared" si="2133"/>
        <v>-6.41</v>
      </c>
      <c r="BA203" s="7">
        <f>SUM(BA193:BA202)</f>
        <v>20628.722000000002</v>
      </c>
      <c r="BB203" s="7">
        <f t="shared" ref="BB203:BD203" si="2134">SUM(BB193:BB202)</f>
        <v>16785.946</v>
      </c>
      <c r="BC203" s="7">
        <f t="shared" si="2134"/>
        <v>8726.0650000000005</v>
      </c>
      <c r="BD203" s="7">
        <f t="shared" si="2134"/>
        <v>3842.7759999999998</v>
      </c>
      <c r="BE203" s="7">
        <f>SUM(BE193:BE202)</f>
        <v>3413.5319999999997</v>
      </c>
      <c r="BF203" s="7">
        <f t="shared" ref="BF203:BH203" si="2135">SUM(BF193:BF202)</f>
        <v>1020.773</v>
      </c>
      <c r="BG203" s="7">
        <f t="shared" si="2135"/>
        <v>51.766999999999996</v>
      </c>
      <c r="BH203" s="7">
        <f t="shared" si="2135"/>
        <v>2392.7589999999996</v>
      </c>
      <c r="BI203" s="7">
        <f>SUM(BI193:BI202)</f>
        <v>70</v>
      </c>
      <c r="BJ203" s="7">
        <f t="shared" ref="BJ203:BL203" si="2136">SUM(BJ193:BJ202)</f>
        <v>68.578000000000003</v>
      </c>
      <c r="BK203" s="7">
        <f t="shared" si="2136"/>
        <v>10.15</v>
      </c>
      <c r="BL203" s="7">
        <f t="shared" si="2136"/>
        <v>1.4219999999999995</v>
      </c>
      <c r="BM203" s="7">
        <f>SUM(BM193:BM202)</f>
        <v>30</v>
      </c>
      <c r="BN203" s="7">
        <f t="shared" ref="BN203:BP203" si="2137">SUM(BN193:BN202)</f>
        <v>40.847999999999999</v>
      </c>
      <c r="BO203" s="7">
        <f t="shared" si="2137"/>
        <v>10</v>
      </c>
      <c r="BP203" s="7">
        <f t="shared" si="2137"/>
        <v>-10.848000000000001</v>
      </c>
      <c r="BQ203" s="7">
        <f>SUM(BQ193:BQ202)</f>
        <v>20698.722000000002</v>
      </c>
      <c r="BR203" s="7">
        <f t="shared" ref="BR203:BT203" si="2138">SUM(BR193:BR202)</f>
        <v>16854.524000000001</v>
      </c>
      <c r="BS203" s="7">
        <f t="shared" si="2138"/>
        <v>8736.2150000000001</v>
      </c>
      <c r="BT203" s="7">
        <f t="shared" si="2138"/>
        <v>3844.1979999999999</v>
      </c>
      <c r="BU203" s="7">
        <f>SUM(BU193:BU202)</f>
        <v>3443.5319999999997</v>
      </c>
      <c r="BV203" s="7">
        <f t="shared" ref="BV203:BX203" si="2139">SUM(BV193:BV202)</f>
        <v>1061.6210000000001</v>
      </c>
      <c r="BW203" s="7">
        <f t="shared" si="2139"/>
        <v>61.766999999999996</v>
      </c>
      <c r="BX203" s="7">
        <f t="shared" si="2139"/>
        <v>2381.9110000000001</v>
      </c>
      <c r="BY203" s="7">
        <f>SUM(BY193:BY202)</f>
        <v>1.3000000000000007</v>
      </c>
      <c r="BZ203" s="7">
        <f t="shared" ref="BZ203:CB203" si="2140">SUM(BZ193:BZ202)</f>
        <v>-5.3660000000000005</v>
      </c>
      <c r="CA203" s="7">
        <f t="shared" si="2140"/>
        <v>-28.278000000000002</v>
      </c>
      <c r="CB203" s="7">
        <f t="shared" si="2140"/>
        <v>6.6660000000000013</v>
      </c>
      <c r="CC203" s="7">
        <f>SUM(CC193:CC202)</f>
        <v>0</v>
      </c>
      <c r="CD203" s="7">
        <f t="shared" ref="CD203:CF203" si="2141">SUM(CD193:CD202)</f>
        <v>-4.6100000000000003</v>
      </c>
      <c r="CE203" s="7">
        <f t="shared" si="2141"/>
        <v>0</v>
      </c>
      <c r="CF203" s="7">
        <f t="shared" si="2141"/>
        <v>4.6100000000000003</v>
      </c>
      <c r="CG203" s="7">
        <f>SUM(CG193:CG202)</f>
        <v>20700.022000000001</v>
      </c>
      <c r="CH203" s="7">
        <f t="shared" ref="CH203:CJ203" si="2142">SUM(CH193:CH202)</f>
        <v>16849.157999999999</v>
      </c>
      <c r="CI203" s="7">
        <f t="shared" si="2142"/>
        <v>8707.9369999999999</v>
      </c>
      <c r="CJ203" s="7">
        <f t="shared" si="2142"/>
        <v>3850.8639999999996</v>
      </c>
      <c r="CK203" s="7">
        <f>SUM(CK193:CK202)</f>
        <v>3443.5319999999992</v>
      </c>
      <c r="CL203" s="7">
        <f t="shared" ref="CL203:CN203" si="2143">SUM(CL193:CL202)</f>
        <v>1057.011</v>
      </c>
      <c r="CM203" s="7">
        <f t="shared" si="2143"/>
        <v>61.766999999999996</v>
      </c>
      <c r="CN203" s="7">
        <f t="shared" si="2143"/>
        <v>2386.5209999999997</v>
      </c>
      <c r="CO203" s="7">
        <f>SUM(CO193:CO202)</f>
        <v>5.1000000000000005</v>
      </c>
      <c r="CP203" s="7">
        <f t="shared" ref="CP203:CR203" si="2144">SUM(CP193:CP202)</f>
        <v>16.027000000000001</v>
      </c>
      <c r="CQ203" s="7">
        <f t="shared" si="2144"/>
        <v>6.5760000000000005</v>
      </c>
      <c r="CR203" s="7">
        <f t="shared" si="2144"/>
        <v>-10.927</v>
      </c>
      <c r="CS203" s="7">
        <f>SUM(CS193:CS202)</f>
        <v>0</v>
      </c>
      <c r="CT203" s="7">
        <f t="shared" ref="CT203:CV203" si="2145">SUM(CT193:CT202)</f>
        <v>7.0940000000000003</v>
      </c>
      <c r="CU203" s="7">
        <f t="shared" si="2145"/>
        <v>1.0620000000000001</v>
      </c>
      <c r="CV203" s="7">
        <f t="shared" si="2145"/>
        <v>-7.0939999999999994</v>
      </c>
      <c r="CW203" s="7">
        <f>SUM(CW193:CW202)</f>
        <v>20705.121999999999</v>
      </c>
      <c r="CX203" s="7">
        <f t="shared" ref="CX203:CZ203" si="2146">SUM(CX193:CX202)</f>
        <v>16865.185000000001</v>
      </c>
      <c r="CY203" s="7">
        <f t="shared" si="2146"/>
        <v>8714.5130000000008</v>
      </c>
      <c r="CZ203" s="7">
        <f t="shared" si="2146"/>
        <v>3839.9369999999999</v>
      </c>
      <c r="DA203" s="7">
        <f>SUM(DA193:DA202)</f>
        <v>3443.5319999999992</v>
      </c>
      <c r="DB203" s="7">
        <f t="shared" ref="DB203:DD203" si="2147">SUM(DB193:DB202)</f>
        <v>1064.105</v>
      </c>
      <c r="DC203" s="7">
        <f t="shared" si="2147"/>
        <v>62.828999999999994</v>
      </c>
      <c r="DD203" s="7">
        <f t="shared" si="2147"/>
        <v>2379.4269999999997</v>
      </c>
      <c r="DE203" s="7">
        <f>SUM(DE193:DE202)</f>
        <v>35.72</v>
      </c>
      <c r="DF203" s="7">
        <f t="shared" ref="DF203:DH203" si="2148">SUM(DF193:DF202)</f>
        <v>6.9830000000000041</v>
      </c>
      <c r="DG203" s="7">
        <f t="shared" si="2148"/>
        <v>8.0820000000000025</v>
      </c>
      <c r="DH203" s="7">
        <f t="shared" si="2148"/>
        <v>28.736999999999998</v>
      </c>
      <c r="DI203" s="7">
        <f>SUM(DI193:DI202)</f>
        <v>0</v>
      </c>
      <c r="DJ203" s="7">
        <f t="shared" ref="DJ203:DL203" si="2149">SUM(DJ193:DJ202)</f>
        <v>0</v>
      </c>
      <c r="DK203" s="7">
        <f t="shared" si="2149"/>
        <v>0</v>
      </c>
      <c r="DL203" s="7">
        <f t="shared" si="2149"/>
        <v>0</v>
      </c>
      <c r="DM203" s="7">
        <f>SUM(DM193:DM202)</f>
        <v>20740.841999999997</v>
      </c>
      <c r="DN203" s="7">
        <f t="shared" ref="DN203:DP203" si="2150">SUM(DN193:DN202)</f>
        <v>16872.167999999998</v>
      </c>
      <c r="DO203" s="7">
        <f t="shared" si="2150"/>
        <v>8722.5949999999993</v>
      </c>
      <c r="DP203" s="7">
        <f t="shared" si="2150"/>
        <v>3868.674</v>
      </c>
      <c r="DQ203" s="7">
        <f>SUM(DQ193:DQ202)</f>
        <v>3443.5319999999992</v>
      </c>
      <c r="DR203" s="7">
        <f t="shared" ref="DR203:DT203" si="2151">SUM(DR193:DR202)</f>
        <v>1064.105</v>
      </c>
      <c r="DS203" s="7">
        <f t="shared" si="2151"/>
        <v>62.828999999999994</v>
      </c>
      <c r="DT203" s="7">
        <f t="shared" si="2151"/>
        <v>2379.4269999999997</v>
      </c>
      <c r="DU203" s="7">
        <f>SUM(DU193:DU202)</f>
        <v>28.849000000000004</v>
      </c>
      <c r="DV203" s="7">
        <f t="shared" ref="DV203:DX203" si="2152">SUM(DV193:DV202)</f>
        <v>15.278999999999996</v>
      </c>
      <c r="DW203" s="7">
        <f t="shared" si="2152"/>
        <v>-51.775999999999996</v>
      </c>
      <c r="DX203" s="7">
        <f t="shared" si="2152"/>
        <v>13.57</v>
      </c>
      <c r="DY203" s="7">
        <f>SUM(DY193:DY202)</f>
        <v>0</v>
      </c>
      <c r="DZ203" s="7">
        <f t="shared" ref="DZ203:EB203" si="2153">SUM(DZ193:DZ202)</f>
        <v>0</v>
      </c>
      <c r="EA203" s="7">
        <f t="shared" si="2153"/>
        <v>0</v>
      </c>
      <c r="EB203" s="7">
        <f t="shared" si="2153"/>
        <v>0</v>
      </c>
      <c r="EC203" s="7">
        <f>SUM(EC193:EC202)</f>
        <v>20769.690999999995</v>
      </c>
      <c r="ED203" s="7">
        <f t="shared" ref="ED203:EF203" si="2154">SUM(ED193:ED202)</f>
        <v>16887.447</v>
      </c>
      <c r="EE203" s="7">
        <f t="shared" si="2154"/>
        <v>8670.8190000000013</v>
      </c>
      <c r="EF203" s="7">
        <f t="shared" si="2154"/>
        <v>3882.2439999999997</v>
      </c>
      <c r="EG203" s="7">
        <f>SUM(EG193:EG202)</f>
        <v>3443.5319999999992</v>
      </c>
      <c r="EH203" s="7">
        <f t="shared" ref="EH203:EJ203" si="2155">SUM(EH193:EH202)</f>
        <v>1064.105</v>
      </c>
      <c r="EI203" s="7">
        <f t="shared" si="2155"/>
        <v>62.828999999999994</v>
      </c>
      <c r="EJ203" s="7">
        <f t="shared" si="2155"/>
        <v>2379.4269999999997</v>
      </c>
      <c r="EK203" s="212">
        <f t="shared" si="1402"/>
        <v>-16609.703000000001</v>
      </c>
      <c r="EL203" s="212">
        <f t="shared" si="1403"/>
        <v>-16756.873999999996</v>
      </c>
      <c r="EM203" s="130">
        <f>SUM(EP203,EN203)</f>
        <v>4012.817</v>
      </c>
      <c r="EN203" s="131">
        <f>SUM(EN161,EN138,EN31:EN33,EN176,EN169,EN149,EN43,EN102,EN75,EN118,EN82,EN109,EN95,EN89,EN63,EN49,EN69,EN56,EN76,EN96,EN150,EN119,EN50)</f>
        <v>1534.6670000000001</v>
      </c>
      <c r="EO203" s="132">
        <f>SUM(EO161,EO138,EO31:EO33,EO176,EO169,EO149,EO43,EO102,EO75,EO118,EO82,EO109,EO95,EO89,EO63)</f>
        <v>42.95</v>
      </c>
      <c r="EP203" s="133">
        <f>SUM(EP161,EP138,EP31:EP33,EP176,EP169,EP149,EP43,EP102,EP75,EP118,EP82,EP109,EP95,EP89,EP63,EP49,EP69,EP56,EP76,EP96,EP83,EP155,EP103)</f>
        <v>2478.1499999999996</v>
      </c>
    </row>
    <row r="204" spans="1:150" ht="13" hidden="1" x14ac:dyDescent="0.3">
      <c r="B204" s="211" t="s">
        <v>118</v>
      </c>
      <c r="EK204" s="212">
        <f t="shared" si="1402"/>
        <v>0</v>
      </c>
      <c r="EL204" s="212">
        <f t="shared" si="1403"/>
        <v>0</v>
      </c>
    </row>
    <row r="205" spans="1:150" ht="13" hidden="1" x14ac:dyDescent="0.25">
      <c r="B205" s="1" t="s">
        <v>117</v>
      </c>
      <c r="EK205" s="212">
        <f t="shared" ref="EK205" si="2156">EM205-E205</f>
        <v>0</v>
      </c>
      <c r="EL205" s="212">
        <f t="shared" ref="EL205" si="2157">EM205-EC205</f>
        <v>0</v>
      </c>
    </row>
    <row r="207" spans="1:150" x14ac:dyDescent="0.25">
      <c r="F207" s="213"/>
      <c r="G207" s="213"/>
      <c r="H207" s="213"/>
      <c r="N207" s="213"/>
      <c r="O207" s="213"/>
      <c r="P207" s="213"/>
      <c r="V207" s="213"/>
      <c r="W207" s="213"/>
      <c r="X207" s="213"/>
      <c r="AD207" s="213"/>
      <c r="AE207" s="213"/>
      <c r="AF207" s="213"/>
      <c r="AL207" s="213"/>
      <c r="AM207" s="213"/>
      <c r="AN207" s="213"/>
      <c r="AT207" s="213"/>
      <c r="AU207" s="213"/>
      <c r="AV207" s="213"/>
      <c r="BB207" s="213"/>
      <c r="BC207" s="213"/>
      <c r="BD207" s="213"/>
      <c r="BJ207" s="213"/>
      <c r="BK207" s="213"/>
      <c r="BL207" s="213"/>
      <c r="BR207" s="213"/>
      <c r="BS207" s="213"/>
      <c r="BT207" s="213"/>
      <c r="BZ207" s="213"/>
      <c r="CA207" s="213"/>
      <c r="CB207" s="213"/>
      <c r="CH207" s="213"/>
      <c r="CI207" s="213"/>
      <c r="CJ207" s="213"/>
      <c r="CP207" s="213"/>
      <c r="CQ207" s="213"/>
      <c r="CR207" s="213"/>
      <c r="CX207" s="213"/>
      <c r="CY207" s="213"/>
      <c r="CZ207" s="213"/>
      <c r="DF207" s="213"/>
      <c r="DG207" s="213"/>
      <c r="DH207" s="213"/>
      <c r="DN207" s="213"/>
      <c r="DO207" s="213"/>
      <c r="DP207" s="213"/>
      <c r="DV207" s="213"/>
      <c r="DW207" s="213"/>
      <c r="DX207" s="213"/>
      <c r="ED207" s="213"/>
      <c r="EE207" s="213"/>
      <c r="EF207" s="213"/>
      <c r="EN207" s="213"/>
      <c r="EO207" s="213"/>
      <c r="EP207" s="213"/>
    </row>
  </sheetData>
  <mergeCells count="310">
    <mergeCell ref="B118:B119"/>
    <mergeCell ref="A118:A119"/>
    <mergeCell ref="B149:B150"/>
    <mergeCell ref="A149:A150"/>
    <mergeCell ref="EK5:EK9"/>
    <mergeCell ref="EL5:EL9"/>
    <mergeCell ref="A2:EP2"/>
    <mergeCell ref="EM6:EM9"/>
    <mergeCell ref="EN6:EP6"/>
    <mergeCell ref="EN7:EO7"/>
    <mergeCell ref="EP7:EP9"/>
    <mergeCell ref="EN8:EN9"/>
    <mergeCell ref="EO8:EO9"/>
    <mergeCell ref="EM5:EP5"/>
    <mergeCell ref="EH8:EH9"/>
    <mergeCell ref="EI8:EI9"/>
    <mergeCell ref="DU5:EB5"/>
    <mergeCell ref="EC5:EJ5"/>
    <mergeCell ref="DU6:DU9"/>
    <mergeCell ref="DV6:DX6"/>
    <mergeCell ref="DY6:DY9"/>
    <mergeCell ref="DZ6:EB6"/>
    <mergeCell ref="EC6:EC9"/>
    <mergeCell ref="ED6:EF6"/>
    <mergeCell ref="EG6:EG9"/>
    <mergeCell ref="EH6:EJ6"/>
    <mergeCell ref="DV7:DW7"/>
    <mergeCell ref="DX7:DX9"/>
    <mergeCell ref="DZ7:EA7"/>
    <mergeCell ref="EB7:EB9"/>
    <mergeCell ref="ED7:EE7"/>
    <mergeCell ref="EF7:EF9"/>
    <mergeCell ref="EH7:EI7"/>
    <mergeCell ref="EJ7:EJ9"/>
    <mergeCell ref="DV8:DV9"/>
    <mergeCell ref="DW8:DW9"/>
    <mergeCell ref="DZ8:DZ9"/>
    <mergeCell ref="EA8:EA9"/>
    <mergeCell ref="ED8:ED9"/>
    <mergeCell ref="EE8:EE9"/>
    <mergeCell ref="AT6:AV6"/>
    <mergeCell ref="AW6:AW9"/>
    <mergeCell ref="AX6:AZ6"/>
    <mergeCell ref="BA6:BA9"/>
    <mergeCell ref="BB6:BD6"/>
    <mergeCell ref="BE6:BE9"/>
    <mergeCell ref="BF6:BH6"/>
    <mergeCell ref="AT7:AU7"/>
    <mergeCell ref="AV7:AV9"/>
    <mergeCell ref="AX7:AY7"/>
    <mergeCell ref="AZ7:AZ9"/>
    <mergeCell ref="BB7:BC7"/>
    <mergeCell ref="BD7:BD9"/>
    <mergeCell ref="BF7:BG7"/>
    <mergeCell ref="BH7:BH9"/>
    <mergeCell ref="BB8:BB9"/>
    <mergeCell ref="BC8:BC9"/>
    <mergeCell ref="AT8:AT9"/>
    <mergeCell ref="AU8:AU9"/>
    <mergeCell ref="AX8:AX9"/>
    <mergeCell ref="AY8:AY9"/>
    <mergeCell ref="BF8:BF9"/>
    <mergeCell ref="BG8:BG9"/>
    <mergeCell ref="BQ5:BX5"/>
    <mergeCell ref="A19:A20"/>
    <mergeCell ref="B19:B20"/>
    <mergeCell ref="A31:A33"/>
    <mergeCell ref="B31:B33"/>
    <mergeCell ref="A40:A41"/>
    <mergeCell ref="B40:B41"/>
    <mergeCell ref="S8:S9"/>
    <mergeCell ref="AP7:AQ7"/>
    <mergeCell ref="AR7:AR9"/>
    <mergeCell ref="U6:U9"/>
    <mergeCell ref="V6:X6"/>
    <mergeCell ref="A6:A9"/>
    <mergeCell ref="B6:B9"/>
    <mergeCell ref="C6:C9"/>
    <mergeCell ref="D6:D9"/>
    <mergeCell ref="E6:E9"/>
    <mergeCell ref="F6:H6"/>
    <mergeCell ref="I6:I9"/>
    <mergeCell ref="J6:L6"/>
    <mergeCell ref="F7:G7"/>
    <mergeCell ref="AS5:AZ5"/>
    <mergeCell ref="BA5:BH5"/>
    <mergeCell ref="AS6:AS9"/>
    <mergeCell ref="G8:G9"/>
    <mergeCell ref="AP8:AP9"/>
    <mergeCell ref="AQ8:AQ9"/>
    <mergeCell ref="K8:K9"/>
    <mergeCell ref="B75:B76"/>
    <mergeCell ref="A82:A83"/>
    <mergeCell ref="B82:B83"/>
    <mergeCell ref="A46:A47"/>
    <mergeCell ref="B46:B47"/>
    <mergeCell ref="A53:A54"/>
    <mergeCell ref="B53:B54"/>
    <mergeCell ref="A60:A61"/>
    <mergeCell ref="B60:B61"/>
    <mergeCell ref="W8:W9"/>
    <mergeCell ref="Z8:Z9"/>
    <mergeCell ref="A49:A50"/>
    <mergeCell ref="B49:B50"/>
    <mergeCell ref="A158:A159"/>
    <mergeCell ref="B158:B159"/>
    <mergeCell ref="A165:A166"/>
    <mergeCell ref="B165:B166"/>
    <mergeCell ref="A173:A174"/>
    <mergeCell ref="B173:B174"/>
    <mergeCell ref="A136:A137"/>
    <mergeCell ref="B136:B137"/>
    <mergeCell ref="A143:A144"/>
    <mergeCell ref="B143:B144"/>
    <mergeCell ref="A153:A154"/>
    <mergeCell ref="B153:B154"/>
    <mergeCell ref="B138:B139"/>
    <mergeCell ref="A138:A139"/>
    <mergeCell ref="E5:L5"/>
    <mergeCell ref="A112:A113"/>
    <mergeCell ref="B112:B113"/>
    <mergeCell ref="A123:A124"/>
    <mergeCell ref="B123:B124"/>
    <mergeCell ref="A130:A131"/>
    <mergeCell ref="B130:B131"/>
    <mergeCell ref="A95:A96"/>
    <mergeCell ref="B95:B96"/>
    <mergeCell ref="A99:A100"/>
    <mergeCell ref="B99:B100"/>
    <mergeCell ref="A106:A107"/>
    <mergeCell ref="B106:B107"/>
    <mergeCell ref="A79:A80"/>
    <mergeCell ref="B79:B80"/>
    <mergeCell ref="A86:A87"/>
    <mergeCell ref="B86:B87"/>
    <mergeCell ref="A92:A93"/>
    <mergeCell ref="B92:B93"/>
    <mergeCell ref="A66:A67"/>
    <mergeCell ref="B66:B67"/>
    <mergeCell ref="A72:A73"/>
    <mergeCell ref="B72:B73"/>
    <mergeCell ref="A75:A76"/>
    <mergeCell ref="C200:D200"/>
    <mergeCell ref="C201:D201"/>
    <mergeCell ref="C202:D202"/>
    <mergeCell ref="M6:M9"/>
    <mergeCell ref="N6:P6"/>
    <mergeCell ref="Q6:Q9"/>
    <mergeCell ref="C194:D194"/>
    <mergeCell ref="C195:D195"/>
    <mergeCell ref="C196:D196"/>
    <mergeCell ref="C197:D197"/>
    <mergeCell ref="C198:D198"/>
    <mergeCell ref="C199:D199"/>
    <mergeCell ref="C187:D187"/>
    <mergeCell ref="C188:D188"/>
    <mergeCell ref="C189:D189"/>
    <mergeCell ref="C190:D190"/>
    <mergeCell ref="C191:D191"/>
    <mergeCell ref="C193:D193"/>
    <mergeCell ref="H7:H9"/>
    <mergeCell ref="J7:K7"/>
    <mergeCell ref="L7:L9"/>
    <mergeCell ref="F8:F9"/>
    <mergeCell ref="J8:J9"/>
    <mergeCell ref="N7:O7"/>
    <mergeCell ref="M5:T5"/>
    <mergeCell ref="AL7:AM7"/>
    <mergeCell ref="Y6:Y9"/>
    <mergeCell ref="Z6:AB6"/>
    <mergeCell ref="V7:W7"/>
    <mergeCell ref="X7:X9"/>
    <mergeCell ref="Z7:AA7"/>
    <mergeCell ref="AB7:AB9"/>
    <mergeCell ref="V8:V9"/>
    <mergeCell ref="R6:T6"/>
    <mergeCell ref="AA8:AA9"/>
    <mergeCell ref="AE8:AE9"/>
    <mergeCell ref="AH8:AH9"/>
    <mergeCell ref="AI8:AI9"/>
    <mergeCell ref="AL8:AL9"/>
    <mergeCell ref="AM8:AM9"/>
    <mergeCell ref="AD8:AD9"/>
    <mergeCell ref="P7:P9"/>
    <mergeCell ref="R7:S7"/>
    <mergeCell ref="T7:T9"/>
    <mergeCell ref="N8:N9"/>
    <mergeCell ref="O8:O9"/>
    <mergeCell ref="R8:R9"/>
    <mergeCell ref="U5:AB5"/>
    <mergeCell ref="BI6:BI9"/>
    <mergeCell ref="BJ6:BL6"/>
    <mergeCell ref="BM6:BM9"/>
    <mergeCell ref="BN6:BP6"/>
    <mergeCell ref="BJ7:BK7"/>
    <mergeCell ref="BL7:BL9"/>
    <mergeCell ref="BN7:BO7"/>
    <mergeCell ref="BP7:BP9"/>
    <mergeCell ref="AC5:AJ5"/>
    <mergeCell ref="AK5:AR5"/>
    <mergeCell ref="AC6:AC9"/>
    <mergeCell ref="AD6:AF6"/>
    <mergeCell ref="AG6:AG9"/>
    <mergeCell ref="AH6:AJ6"/>
    <mergeCell ref="AK6:AK9"/>
    <mergeCell ref="AL6:AN6"/>
    <mergeCell ref="AO6:AO9"/>
    <mergeCell ref="AP6:AR6"/>
    <mergeCell ref="AD7:AE7"/>
    <mergeCell ref="AF7:AF9"/>
    <mergeCell ref="AH7:AI7"/>
    <mergeCell ref="AJ7:AJ9"/>
    <mergeCell ref="AN7:AN9"/>
    <mergeCell ref="BI5:BP5"/>
    <mergeCell ref="BV7:BW7"/>
    <mergeCell ref="BX7:BX9"/>
    <mergeCell ref="BJ8:BJ9"/>
    <mergeCell ref="BK8:BK9"/>
    <mergeCell ref="CL7:CM7"/>
    <mergeCell ref="CN7:CN9"/>
    <mergeCell ref="BZ8:BZ9"/>
    <mergeCell ref="CA8:CA9"/>
    <mergeCell ref="CD8:CD9"/>
    <mergeCell ref="CE8:CE9"/>
    <mergeCell ref="CH8:CH9"/>
    <mergeCell ref="CI8:CI9"/>
    <mergeCell ref="BU6:BU9"/>
    <mergeCell ref="BV6:BX6"/>
    <mergeCell ref="BO8:BO9"/>
    <mergeCell ref="BR8:BR9"/>
    <mergeCell ref="BS8:BS9"/>
    <mergeCell ref="BQ6:BQ9"/>
    <mergeCell ref="BR6:BT6"/>
    <mergeCell ref="BR7:BS7"/>
    <mergeCell ref="BT7:BT9"/>
    <mergeCell ref="BV8:BV9"/>
    <mergeCell ref="BW8:BW9"/>
    <mergeCell ref="BN8:BN9"/>
    <mergeCell ref="CP8:CP9"/>
    <mergeCell ref="CQ8:CQ9"/>
    <mergeCell ref="CT8:CT9"/>
    <mergeCell ref="CU8:CU9"/>
    <mergeCell ref="CX8:CX9"/>
    <mergeCell ref="CY8:CY9"/>
    <mergeCell ref="CL8:CL9"/>
    <mergeCell ref="CM8:CM9"/>
    <mergeCell ref="BY5:CF5"/>
    <mergeCell ref="CG5:CN5"/>
    <mergeCell ref="BY6:BY9"/>
    <mergeCell ref="BZ6:CB6"/>
    <mergeCell ref="CC6:CC9"/>
    <mergeCell ref="CD6:CF6"/>
    <mergeCell ref="CG6:CG9"/>
    <mergeCell ref="CH6:CJ6"/>
    <mergeCell ref="CK6:CK9"/>
    <mergeCell ref="CL6:CN6"/>
    <mergeCell ref="BZ7:CA7"/>
    <mergeCell ref="CB7:CB9"/>
    <mergeCell ref="CD7:CE7"/>
    <mergeCell ref="CF7:CF9"/>
    <mergeCell ref="CH7:CI7"/>
    <mergeCell ref="CJ7:CJ9"/>
    <mergeCell ref="DN8:DN9"/>
    <mergeCell ref="DO8:DO9"/>
    <mergeCell ref="B102:B103"/>
    <mergeCell ref="A102:A103"/>
    <mergeCell ref="DB8:DB9"/>
    <mergeCell ref="DC8:DC9"/>
    <mergeCell ref="CO5:CV5"/>
    <mergeCell ref="CW5:DD5"/>
    <mergeCell ref="CO6:CO9"/>
    <mergeCell ref="CP6:CR6"/>
    <mergeCell ref="CS6:CS9"/>
    <mergeCell ref="CT6:CV6"/>
    <mergeCell ref="CW6:CW9"/>
    <mergeCell ref="CX6:CZ6"/>
    <mergeCell ref="DA6:DA9"/>
    <mergeCell ref="DB6:DD6"/>
    <mergeCell ref="CP7:CQ7"/>
    <mergeCell ref="CR7:CR9"/>
    <mergeCell ref="CT7:CU7"/>
    <mergeCell ref="CV7:CV9"/>
    <mergeCell ref="CX7:CY7"/>
    <mergeCell ref="CZ7:CZ9"/>
    <mergeCell ref="DB7:DC7"/>
    <mergeCell ref="DD7:DD9"/>
    <mergeCell ref="DR8:DR9"/>
    <mergeCell ref="DS8:DS9"/>
    <mergeCell ref="DE5:DL5"/>
    <mergeCell ref="DM5:DT5"/>
    <mergeCell ref="DE6:DE9"/>
    <mergeCell ref="DF6:DH6"/>
    <mergeCell ref="DI6:DI9"/>
    <mergeCell ref="DJ6:DL6"/>
    <mergeCell ref="DM6:DM9"/>
    <mergeCell ref="DN6:DP6"/>
    <mergeCell ref="DQ6:DQ9"/>
    <mergeCell ref="DR6:DT6"/>
    <mergeCell ref="DF7:DG7"/>
    <mergeCell ref="DH7:DH9"/>
    <mergeCell ref="DJ7:DK7"/>
    <mergeCell ref="DL7:DL9"/>
    <mergeCell ref="DN7:DO7"/>
    <mergeCell ref="DP7:DP9"/>
    <mergeCell ref="DR7:DS7"/>
    <mergeCell ref="DT7:DT9"/>
    <mergeCell ref="DF8:DF9"/>
    <mergeCell ref="DG8:DG9"/>
    <mergeCell ref="DJ8:DJ9"/>
    <mergeCell ref="DK8:DK9"/>
  </mergeCells>
  <conditionalFormatting sqref="B35">
    <cfRule type="cellIs" dxfId="83" priority="107" operator="equal">
      <formula>0</formula>
    </cfRule>
  </conditionalFormatting>
  <conditionalFormatting sqref="B36:B37">
    <cfRule type="cellIs" dxfId="82" priority="106" operator="equal">
      <formula>0</formula>
    </cfRule>
  </conditionalFormatting>
  <conditionalFormatting sqref="E11:L183 E186:L202">
    <cfRule type="cellIs" dxfId="81" priority="105" stopIfTrue="1" operator="equal">
      <formula>0</formula>
    </cfRule>
  </conditionalFormatting>
  <conditionalFormatting sqref="M11:T183 M186:T202">
    <cfRule type="cellIs" dxfId="80" priority="104" stopIfTrue="1" operator="equal">
      <formula>0</formula>
    </cfRule>
  </conditionalFormatting>
  <conditionalFormatting sqref="U194:AB202 U193:W193 Y193:AB193 U11:AB183 U190:AB192 U189:W189 Y189:AB189 U186:AB188">
    <cfRule type="cellIs" dxfId="79" priority="103" stopIfTrue="1" operator="equal">
      <formula>0</formula>
    </cfRule>
  </conditionalFormatting>
  <conditionalFormatting sqref="X193">
    <cfRule type="cellIs" dxfId="78" priority="102" stopIfTrue="1" operator="equal">
      <formula>0</formula>
    </cfRule>
  </conditionalFormatting>
  <conditionalFormatting sqref="AC191:AJ202 AC190:AE190 AG190:AJ190 AC11:AJ183 AC186:AJ189">
    <cfRule type="cellIs" dxfId="77" priority="101" stopIfTrue="1" operator="equal">
      <formula>0</formula>
    </cfRule>
  </conditionalFormatting>
  <conditionalFormatting sqref="AK194:AR202 AK193:AM193 AO193:AR193 AK190:AR192 AK189:AM189 AO189:AR189 AK11:AR183 AK186:AR188">
    <cfRule type="cellIs" dxfId="76" priority="100" stopIfTrue="1" operator="equal">
      <formula>0</formula>
    </cfRule>
  </conditionalFormatting>
  <conditionalFormatting sqref="AN193">
    <cfRule type="cellIs" dxfId="75" priority="99" stopIfTrue="1" operator="equal">
      <formula>0</formula>
    </cfRule>
  </conditionalFormatting>
  <conditionalFormatting sqref="AF190">
    <cfRule type="cellIs" dxfId="74" priority="96" stopIfTrue="1" operator="equal">
      <formula>0</formula>
    </cfRule>
  </conditionalFormatting>
  <conditionalFormatting sqref="X189">
    <cfRule type="cellIs" dxfId="73" priority="98" stopIfTrue="1" operator="equal">
      <formula>0</formula>
    </cfRule>
  </conditionalFormatting>
  <conditionalFormatting sqref="AN189">
    <cfRule type="cellIs" dxfId="72" priority="97" stopIfTrue="1" operator="equal">
      <formula>0</formula>
    </cfRule>
  </conditionalFormatting>
  <conditionalFormatting sqref="AS190:AU190 AW190:AZ190 AS11:AZ183 AS191:AZ202 AS186:AZ189">
    <cfRule type="cellIs" dxfId="71" priority="95" stopIfTrue="1" operator="equal">
      <formula>0</formula>
    </cfRule>
  </conditionalFormatting>
  <conditionalFormatting sqref="BA194:BH202 BA193:BC193 BE193:BH193 BA190:BH192 BA189:BC189 BE189:BH189 BA11:BH183 BA186:BH188">
    <cfRule type="cellIs" dxfId="70" priority="94" stopIfTrue="1" operator="equal">
      <formula>0</formula>
    </cfRule>
  </conditionalFormatting>
  <conditionalFormatting sqref="BD193">
    <cfRule type="cellIs" dxfId="69" priority="93" stopIfTrue="1" operator="equal">
      <formula>0</formula>
    </cfRule>
  </conditionalFormatting>
  <conditionalFormatting sqref="AV190">
    <cfRule type="cellIs" dxfId="68" priority="91" stopIfTrue="1" operator="equal">
      <formula>0</formula>
    </cfRule>
  </conditionalFormatting>
  <conditionalFormatting sqref="BD189">
    <cfRule type="cellIs" dxfId="67" priority="92" stopIfTrue="1" operator="equal">
      <formula>0</formula>
    </cfRule>
  </conditionalFormatting>
  <conditionalFormatting sqref="BI190:BK190 BM190:BP190 BI191:BP202 BI11:BP183 BI186:BP189">
    <cfRule type="cellIs" dxfId="66" priority="90" stopIfTrue="1" operator="equal">
      <formula>0</formula>
    </cfRule>
  </conditionalFormatting>
  <conditionalFormatting sqref="BQ194:BX202 BQ193:BS193 BU193:BX193 BQ190:BX192 BQ189:BS189 BU189:BX189 BQ11:BX183 BQ186:BX188">
    <cfRule type="cellIs" dxfId="65" priority="89" stopIfTrue="1" operator="equal">
      <formula>0</formula>
    </cfRule>
  </conditionalFormatting>
  <conditionalFormatting sqref="BT193">
    <cfRule type="cellIs" dxfId="64" priority="88" stopIfTrue="1" operator="equal">
      <formula>0</formula>
    </cfRule>
  </conditionalFormatting>
  <conditionalFormatting sqref="BL190">
    <cfRule type="cellIs" dxfId="63" priority="86" stopIfTrue="1" operator="equal">
      <formula>0</formula>
    </cfRule>
  </conditionalFormatting>
  <conditionalFormatting sqref="BT189">
    <cfRule type="cellIs" dxfId="62" priority="87" stopIfTrue="1" operator="equal">
      <formula>0</formula>
    </cfRule>
  </conditionalFormatting>
  <conditionalFormatting sqref="BY190:CA190 CC190:CF190 BY191:CF202 BY11:CF154 BY156:CF183 BZ155:CB155 CD155:CF155 BY186:CF189">
    <cfRule type="cellIs" dxfId="61" priority="85" stopIfTrue="1" operator="equal">
      <formula>0</formula>
    </cfRule>
  </conditionalFormatting>
  <conditionalFormatting sqref="CG194:CN202 CG193:CI193 CK193:CN193 CG190:CN192 CG189:CI189 CK189:CN189 CG11:CN183 CG186:CN188">
    <cfRule type="cellIs" dxfId="60" priority="84" stopIfTrue="1" operator="equal">
      <formula>0</formula>
    </cfRule>
  </conditionalFormatting>
  <conditionalFormatting sqref="CJ193">
    <cfRule type="cellIs" dxfId="59" priority="83" stopIfTrue="1" operator="equal">
      <formula>0</formula>
    </cfRule>
  </conditionalFormatting>
  <conditionalFormatting sqref="CB190">
    <cfRule type="cellIs" dxfId="58" priority="81" stopIfTrue="1" operator="equal">
      <formula>0</formula>
    </cfRule>
  </conditionalFormatting>
  <conditionalFormatting sqref="CJ189">
    <cfRule type="cellIs" dxfId="57" priority="82" stopIfTrue="1" operator="equal">
      <formula>0</formula>
    </cfRule>
  </conditionalFormatting>
  <conditionalFormatting sqref="BY155">
    <cfRule type="cellIs" dxfId="56" priority="80" stopIfTrue="1" operator="equal">
      <formula>0</formula>
    </cfRule>
  </conditionalFormatting>
  <conditionalFormatting sqref="CC155">
    <cfRule type="cellIs" dxfId="55" priority="79" stopIfTrue="1" operator="equal">
      <formula>0</formula>
    </cfRule>
  </conditionalFormatting>
  <conditionalFormatting sqref="CO190:CQ190 CS190:CV190 CO191:CV202 CP155:CR155 CT155:CV155 CO11:CV154 CO156:CV183 CO186:CV189">
    <cfRule type="cellIs" dxfId="54" priority="78" stopIfTrue="1" operator="equal">
      <formula>0</formula>
    </cfRule>
  </conditionalFormatting>
  <conditionalFormatting sqref="CW194:DD202 CW193:CY193 DA193:DD193 CW191:DD192 CW189:CY189 CW11:DD183 DA189:DD190 CW186:DD188">
    <cfRule type="cellIs" dxfId="53" priority="77" stopIfTrue="1" operator="equal">
      <formula>0</formula>
    </cfRule>
  </conditionalFormatting>
  <conditionalFormatting sqref="CZ193">
    <cfRule type="cellIs" dxfId="52" priority="76" stopIfTrue="1" operator="equal">
      <formula>0</formula>
    </cfRule>
  </conditionalFormatting>
  <conditionalFormatting sqref="CR190">
    <cfRule type="cellIs" dxfId="51" priority="74" stopIfTrue="1" operator="equal">
      <formula>0</formula>
    </cfRule>
  </conditionalFormatting>
  <conditionalFormatting sqref="CZ189">
    <cfRule type="cellIs" dxfId="50" priority="75" stopIfTrue="1" operator="equal">
      <formula>0</formula>
    </cfRule>
  </conditionalFormatting>
  <conditionalFormatting sqref="CO155">
    <cfRule type="cellIs" dxfId="49" priority="73" stopIfTrue="1" operator="equal">
      <formula>0</formula>
    </cfRule>
  </conditionalFormatting>
  <conditionalFormatting sqref="CS155">
    <cfRule type="cellIs" dxfId="48" priority="72" stopIfTrue="1" operator="equal">
      <formula>0</formula>
    </cfRule>
  </conditionalFormatting>
  <conditionalFormatting sqref="CZ190">
    <cfRule type="cellIs" dxfId="47" priority="70" stopIfTrue="1" operator="equal">
      <formula>0</formula>
    </cfRule>
  </conditionalFormatting>
  <conditionalFormatting sqref="CW190:CY190">
    <cfRule type="cellIs" dxfId="46" priority="71" stopIfTrue="1" operator="equal">
      <formula>0</formula>
    </cfRule>
  </conditionalFormatting>
  <conditionalFormatting sqref="DE190:DG190 DI190:DL190 DE191:DL202 DF155:DH155 DJ155:DL155 DE11:DL154 DE156:DL183 DE186:DL189">
    <cfRule type="cellIs" dxfId="45" priority="69" stopIfTrue="1" operator="equal">
      <formula>0</formula>
    </cfRule>
  </conditionalFormatting>
  <conditionalFormatting sqref="DM194:DT202 DM193:DO193 DQ193:DT193 DM191:DT192 DM189:DO189 DM11:DT183 DQ189:DT190 DM186:DT188">
    <cfRule type="cellIs" dxfId="44" priority="68" stopIfTrue="1" operator="equal">
      <formula>0</formula>
    </cfRule>
  </conditionalFormatting>
  <conditionalFormatting sqref="DP193">
    <cfRule type="cellIs" dxfId="43" priority="67" stopIfTrue="1" operator="equal">
      <formula>0</formula>
    </cfRule>
  </conditionalFormatting>
  <conditionalFormatting sqref="DH190">
    <cfRule type="cellIs" dxfId="42" priority="65" stopIfTrue="1" operator="equal">
      <formula>0</formula>
    </cfRule>
  </conditionalFormatting>
  <conditionalFormatting sqref="DP189">
    <cfRule type="cellIs" dxfId="41" priority="66" stopIfTrue="1" operator="equal">
      <formula>0</formula>
    </cfRule>
  </conditionalFormatting>
  <conditionalFormatting sqref="DE155">
    <cfRule type="cellIs" dxfId="40" priority="64" stopIfTrue="1" operator="equal">
      <formula>0</formula>
    </cfRule>
  </conditionalFormatting>
  <conditionalFormatting sqref="DI155">
    <cfRule type="cellIs" dxfId="39" priority="63" stopIfTrue="1" operator="equal">
      <formula>0</formula>
    </cfRule>
  </conditionalFormatting>
  <conditionalFormatting sqref="DP190">
    <cfRule type="cellIs" dxfId="38" priority="61" stopIfTrue="1" operator="equal">
      <formula>0</formula>
    </cfRule>
  </conditionalFormatting>
  <conditionalFormatting sqref="DM190:DO190">
    <cfRule type="cellIs" dxfId="37" priority="62" stopIfTrue="1" operator="equal">
      <formula>0</formula>
    </cfRule>
  </conditionalFormatting>
  <conditionalFormatting sqref="DU190:DW190 DY190:EB190 DU191:EB202 DV155:DX155 DZ155:EB155 DU11:EB154 DU156:EB183 DU186:EB189">
    <cfRule type="cellIs" dxfId="36" priority="60" stopIfTrue="1" operator="equal">
      <formula>0</formula>
    </cfRule>
  </conditionalFormatting>
  <conditionalFormatting sqref="EC194:EJ202 EC193:EE193 EG193:EJ193 EC191:EJ192 EC189:EE189 EC11:EJ183 EG189:EJ190 EC186:EJ188 EG184:EJ185">
    <cfRule type="cellIs" dxfId="35" priority="59" stopIfTrue="1" operator="equal">
      <formula>0</formula>
    </cfRule>
  </conditionalFormatting>
  <conditionalFormatting sqref="EF193">
    <cfRule type="cellIs" dxfId="34" priority="58" stopIfTrue="1" operator="equal">
      <formula>0</formula>
    </cfRule>
  </conditionalFormatting>
  <conditionalFormatting sqref="DX190">
    <cfRule type="cellIs" dxfId="33" priority="56" stopIfTrue="1" operator="equal">
      <formula>0</formula>
    </cfRule>
  </conditionalFormatting>
  <conditionalFormatting sqref="EF189">
    <cfRule type="cellIs" dxfId="32" priority="57" stopIfTrue="1" operator="equal">
      <formula>0</formula>
    </cfRule>
  </conditionalFormatting>
  <conditionalFormatting sqref="DU155">
    <cfRule type="cellIs" dxfId="31" priority="55" stopIfTrue="1" operator="equal">
      <formula>0</formula>
    </cfRule>
  </conditionalFormatting>
  <conditionalFormatting sqref="DY155">
    <cfRule type="cellIs" dxfId="30" priority="54" stopIfTrue="1" operator="equal">
      <formula>0</formula>
    </cfRule>
  </conditionalFormatting>
  <conditionalFormatting sqref="EF190">
    <cfRule type="cellIs" dxfId="29" priority="52" stopIfTrue="1" operator="equal">
      <formula>0</formula>
    </cfRule>
  </conditionalFormatting>
  <conditionalFormatting sqref="EC190:EE190">
    <cfRule type="cellIs" dxfId="28" priority="53" stopIfTrue="1" operator="equal">
      <formula>0</formula>
    </cfRule>
  </conditionalFormatting>
  <conditionalFormatting sqref="EK203:EL205">
    <cfRule type="cellIs" dxfId="27" priority="50" stopIfTrue="1" operator="equal">
      <formula>0</formula>
    </cfRule>
  </conditionalFormatting>
  <conditionalFormatting sqref="EM203:EP203">
    <cfRule type="cellIs" dxfId="26" priority="43" stopIfTrue="1" operator="equal">
      <formula>0</formula>
    </cfRule>
  </conditionalFormatting>
  <conditionalFormatting sqref="EK11:EL179">
    <cfRule type="cellIs" dxfId="25" priority="26" stopIfTrue="1" operator="equal">
      <formula>0</formula>
    </cfRule>
  </conditionalFormatting>
  <conditionalFormatting sqref="EK191:EL201 EK180:EL183 EK185:EL185 EK188:EL188">
    <cfRule type="cellIs" dxfId="24" priority="25" stopIfTrue="1" operator="equal">
      <formula>0</formula>
    </cfRule>
  </conditionalFormatting>
  <conditionalFormatting sqref="EK189:EL189">
    <cfRule type="cellIs" dxfId="23" priority="24" stopIfTrue="1" operator="equal">
      <formula>0</formula>
    </cfRule>
  </conditionalFormatting>
  <conditionalFormatting sqref="EK190:EL190">
    <cfRule type="cellIs" dxfId="22" priority="23" stopIfTrue="1" operator="equal">
      <formula>0</formula>
    </cfRule>
  </conditionalFormatting>
  <conditionalFormatting sqref="EK202:EL202">
    <cfRule type="cellIs" dxfId="21" priority="22" stopIfTrue="1" operator="equal">
      <formula>0</formula>
    </cfRule>
  </conditionalFormatting>
  <conditionalFormatting sqref="EK184:EL184">
    <cfRule type="cellIs" dxfId="20" priority="21" stopIfTrue="1" operator="equal">
      <formula>0</formula>
    </cfRule>
  </conditionalFormatting>
  <conditionalFormatting sqref="EK186:EL186">
    <cfRule type="cellIs" dxfId="19" priority="20" stopIfTrue="1" operator="equal">
      <formula>0</formula>
    </cfRule>
  </conditionalFormatting>
  <conditionalFormatting sqref="EK187:EL187">
    <cfRule type="cellIs" dxfId="18" priority="19" stopIfTrue="1" operator="equal">
      <formula>0</formula>
    </cfRule>
  </conditionalFormatting>
  <conditionalFormatting sqref="E185:EF185">
    <cfRule type="cellIs" dxfId="17" priority="18" stopIfTrue="1" operator="equal">
      <formula>0</formula>
    </cfRule>
  </conditionalFormatting>
  <conditionalFormatting sqref="E184:EF184">
    <cfRule type="cellIs" dxfId="16" priority="17" stopIfTrue="1" operator="equal">
      <formula>0</formula>
    </cfRule>
  </conditionalFormatting>
  <conditionalFormatting sqref="EM191:ET195 EQ190:ET190 EM180:ET183 EM197:ET201 EM196 EO196:ET196 EM185:ET185 ES184:ET184 EM188:ET188 EQ186:ET186">
    <cfRule type="cellIs" dxfId="15" priority="16" stopIfTrue="1" operator="equal">
      <formula>0</formula>
    </cfRule>
  </conditionalFormatting>
  <conditionalFormatting sqref="EN196">
    <cfRule type="cellIs" dxfId="14" priority="15" stopIfTrue="1" operator="equal">
      <formula>0</formula>
    </cfRule>
  </conditionalFormatting>
  <conditionalFormatting sqref="EM189:EO189 EQ189:ET189">
    <cfRule type="cellIs" dxfId="13" priority="14" stopIfTrue="1" operator="equal">
      <formula>0</formula>
    </cfRule>
  </conditionalFormatting>
  <conditionalFormatting sqref="EP189">
    <cfRule type="cellIs" dxfId="12" priority="13" stopIfTrue="1" operator="equal">
      <formula>0</formula>
    </cfRule>
  </conditionalFormatting>
  <conditionalFormatting sqref="EQ202:ET202">
    <cfRule type="cellIs" dxfId="11" priority="12" stopIfTrue="1" operator="equal">
      <formula>0</formula>
    </cfRule>
  </conditionalFormatting>
  <conditionalFormatting sqref="EM190">
    <cfRule type="cellIs" dxfId="10" priority="11" stopIfTrue="1" operator="equal">
      <formula>0</formula>
    </cfRule>
  </conditionalFormatting>
  <conditionalFormatting sqref="EM202 EO202:EP202">
    <cfRule type="cellIs" dxfId="9" priority="10" stopIfTrue="1" operator="equal">
      <formula>0</formula>
    </cfRule>
  </conditionalFormatting>
  <conditionalFormatting sqref="EM11:ET125 EM140:ET179 EP126:ET139">
    <cfRule type="cellIs" dxfId="8" priority="9" stopIfTrue="1" operator="equal">
      <formula>0</formula>
    </cfRule>
  </conditionalFormatting>
  <conditionalFormatting sqref="EN190:EO190">
    <cfRule type="cellIs" dxfId="7" priority="8" stopIfTrue="1" operator="equal">
      <formula>0</formula>
    </cfRule>
  </conditionalFormatting>
  <conditionalFormatting sqref="EP190">
    <cfRule type="cellIs" dxfId="6" priority="7" stopIfTrue="1" operator="equal">
      <formula>0</formula>
    </cfRule>
  </conditionalFormatting>
  <conditionalFormatting sqref="EM184:ER184">
    <cfRule type="cellIs" dxfId="5" priority="6" stopIfTrue="1" operator="equal">
      <formula>0</formula>
    </cfRule>
  </conditionalFormatting>
  <conditionalFormatting sqref="EM186:EP186">
    <cfRule type="cellIs" dxfId="4" priority="5" stopIfTrue="1" operator="equal">
      <formula>0</formula>
    </cfRule>
  </conditionalFormatting>
  <conditionalFormatting sqref="EM187:EP187">
    <cfRule type="cellIs" dxfId="3" priority="4" stopIfTrue="1" operator="equal">
      <formula>0</formula>
    </cfRule>
  </conditionalFormatting>
  <conditionalFormatting sqref="EQ187:ET187">
    <cfRule type="cellIs" dxfId="2" priority="3" stopIfTrue="1" operator="equal">
      <formula>0</formula>
    </cfRule>
  </conditionalFormatting>
  <conditionalFormatting sqref="EN202">
    <cfRule type="cellIs" dxfId="1" priority="2" stopIfTrue="1" operator="equal">
      <formula>0</formula>
    </cfRule>
  </conditionalFormatting>
  <conditionalFormatting sqref="EM126:EO139">
    <cfRule type="cellIs" dxfId="0" priority="1" stopIfTrue="1" operator="equal">
      <formula>0</formula>
    </cfRule>
  </conditionalFormatting>
  <pageMargins left="0.11811023622047245" right="0.11811023622047245" top="0.35433070866141736" bottom="0.35433070866141736" header="0.31496062992125984" footer="0.31496062992125984"/>
  <pageSetup paperSize="9" scale="47" fitToHeight="0" orientation="landscape" r:id="rId1"/>
  <ignoredErrors>
    <ignoredError sqref="DF193 DV194" formulaRange="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Darbalapiai</vt:lpstr>
      </vt:variant>
      <vt:variant>
        <vt:i4>6</vt:i4>
      </vt:variant>
      <vt:variant>
        <vt:lpstr>Įvardytieji diapazonai</vt:lpstr>
      </vt:variant>
      <vt:variant>
        <vt:i4>4</vt:i4>
      </vt:variant>
    </vt:vector>
  </HeadingPairs>
  <TitlesOfParts>
    <vt:vector size="10" baseType="lpstr">
      <vt:lpstr>SB_IP_paskola</vt:lpstr>
      <vt:lpstr>Speciali tiksline dotacija</vt:lpstr>
      <vt:lpstr>Kita dotacija</vt:lpstr>
      <vt:lpstr>SP</vt:lpstr>
      <vt:lpstr>ES</vt:lpstr>
      <vt:lpstr>Palyginimas 2</vt:lpstr>
      <vt:lpstr>ES!Print_Titles</vt:lpstr>
      <vt:lpstr>'Kita dotacija'!Print_Titles</vt:lpstr>
      <vt:lpstr>SB_IP_paskola!Print_Titles</vt:lpstr>
      <vt:lpstr>'Speciali tiksline dotacija'!Print_Titles</vt:lpstr>
    </vt:vector>
  </TitlesOfParts>
  <Company>Visagino savivaldybės administracija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Olesia Saratova</dc:creator>
  <cp:lastModifiedBy>Vartotojas</cp:lastModifiedBy>
  <cp:lastPrinted>2022-01-29T14:23:14Z</cp:lastPrinted>
  <dcterms:created xsi:type="dcterms:W3CDTF">2004-01-21T14:05:06Z</dcterms:created>
  <dcterms:modified xsi:type="dcterms:W3CDTF">2022-01-29T16:46:45Z</dcterms:modified>
</cp:coreProperties>
</file>