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defaultThemeVersion="124226"/>
  <mc:AlternateContent xmlns:mc="http://schemas.openxmlformats.org/markup-compatibility/2006">
    <mc:Choice Requires="x15">
      <x15ac:absPath xmlns:x15ac="http://schemas.microsoft.com/office/spreadsheetml/2010/11/ac" url="C:\Users\Vartotojas\Desktop\TARYBOS SPRENDIMAI\2025 m biudzetas\2025 m pristatymas gyventojams\"/>
    </mc:Choice>
  </mc:AlternateContent>
  <xr:revisionPtr revIDLastSave="0" documentId="13_ncr:1_{162E1A94-B96C-4651-8F0F-6B7F3BA0A8EA}" xr6:coauthVersionLast="47" xr6:coauthVersionMax="47" xr10:uidLastSave="{00000000-0000-0000-0000-000000000000}"/>
  <bookViews>
    <workbookView xWindow="-103" yWindow="-103" windowWidth="29692" windowHeight="11949" firstSheet="1" activeTab="1" xr2:uid="{00000000-000D-0000-FFFF-FFFF00000000}"/>
  </bookViews>
  <sheets>
    <sheet name="PAJAMOS tukst.euru" sheetId="8" state="hidden" r:id="rId1"/>
    <sheet name="2025-2027 pajamos" sheetId="12" r:id="rId2"/>
    <sheet name="Likuciais ir skolintos" sheetId="13" r:id="rId3"/>
    <sheet name="tikslinimas" sheetId="9" state="hidden" r:id="rId4"/>
  </sheets>
  <definedNames>
    <definedName name="_xlnm.Print_Area" localSheetId="3">tikslinimas!$A$4:$C$103</definedName>
    <definedName name="_xlnm.Print_Titles" localSheetId="1">'2025-2027 pajamos'!$6:$7</definedName>
    <definedName name="_xlnm.Print_Titles" localSheetId="0">'PAJAMOS tukst.euru'!$6:$6</definedName>
    <definedName name="_xlnm.Print_Titles" localSheetId="3">tikslinimas!$7:$8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2" i="12" l="1"/>
  <c r="E11" i="13" l="1"/>
  <c r="K106" i="12"/>
  <c r="K118" i="12"/>
  <c r="E34" i="13"/>
  <c r="E47" i="13" s="1"/>
  <c r="E22" i="13"/>
  <c r="E21" i="13"/>
  <c r="D47" i="13"/>
  <c r="C47" i="13"/>
  <c r="C9" i="13" l="1"/>
  <c r="J106" i="12" l="1"/>
  <c r="G106" i="12"/>
  <c r="J118" i="12" l="1"/>
  <c r="H100" i="12"/>
  <c r="C17" i="13" l="1"/>
  <c r="E9" i="13"/>
  <c r="E8" i="13" s="1"/>
  <c r="D9" i="13"/>
  <c r="D8" i="13" s="1"/>
  <c r="C14" i="13"/>
  <c r="E20" i="13"/>
  <c r="D20" i="13"/>
  <c r="C20" i="13"/>
  <c r="K119" i="12"/>
  <c r="J119" i="12"/>
  <c r="G118" i="12"/>
  <c r="G119" i="12" s="1"/>
  <c r="I113" i="12"/>
  <c r="H113" i="12"/>
  <c r="G110" i="12"/>
  <c r="G107" i="12"/>
  <c r="K104" i="12"/>
  <c r="J104" i="12"/>
  <c r="E104" i="12"/>
  <c r="C104" i="12"/>
  <c r="H102" i="12"/>
  <c r="I102" i="12"/>
  <c r="I101" i="12"/>
  <c r="H101" i="12"/>
  <c r="H99" i="12"/>
  <c r="I98" i="12"/>
  <c r="H98" i="12"/>
  <c r="E98" i="12"/>
  <c r="I97" i="12"/>
  <c r="H97" i="12"/>
  <c r="I96" i="12"/>
  <c r="H96" i="12"/>
  <c r="I95" i="12"/>
  <c r="H95" i="12"/>
  <c r="I94" i="12"/>
  <c r="H94" i="12"/>
  <c r="F94" i="12"/>
  <c r="I93" i="12"/>
  <c r="H93" i="12"/>
  <c r="F93" i="12"/>
  <c r="G92" i="12"/>
  <c r="I92" i="12" s="1"/>
  <c r="I91" i="12"/>
  <c r="H91" i="12"/>
  <c r="F91" i="12"/>
  <c r="I90" i="12"/>
  <c r="H90" i="12"/>
  <c r="I89" i="12"/>
  <c r="H89" i="12"/>
  <c r="F89" i="12"/>
  <c r="I88" i="12"/>
  <c r="H88" i="12"/>
  <c r="I87" i="12"/>
  <c r="H87" i="12"/>
  <c r="I86" i="12"/>
  <c r="H86" i="12"/>
  <c r="I85" i="12"/>
  <c r="H85" i="12"/>
  <c r="I84" i="12"/>
  <c r="H84" i="12"/>
  <c r="I83" i="12"/>
  <c r="H83" i="12"/>
  <c r="F83" i="12"/>
  <c r="I82" i="12"/>
  <c r="H82" i="12"/>
  <c r="I81" i="12"/>
  <c r="H81" i="12"/>
  <c r="I80" i="12"/>
  <c r="H80" i="12"/>
  <c r="I79" i="12"/>
  <c r="H79" i="12"/>
  <c r="I78" i="12"/>
  <c r="H78" i="12"/>
  <c r="I77" i="12"/>
  <c r="H77" i="12"/>
  <c r="I76" i="12"/>
  <c r="H76" i="12"/>
  <c r="H75" i="12"/>
  <c r="I74" i="12"/>
  <c r="H74" i="12"/>
  <c r="H73" i="12"/>
  <c r="H72" i="12"/>
  <c r="I71" i="12"/>
  <c r="H71" i="12"/>
  <c r="I70" i="12"/>
  <c r="H70" i="12"/>
  <c r="K69" i="12"/>
  <c r="J69" i="12"/>
  <c r="E69" i="12"/>
  <c r="D69" i="12"/>
  <c r="C69" i="12"/>
  <c r="I68" i="12"/>
  <c r="H68" i="12"/>
  <c r="H67" i="12"/>
  <c r="H66" i="12"/>
  <c r="H65" i="12"/>
  <c r="K63" i="12"/>
  <c r="J63" i="12"/>
  <c r="G63" i="12"/>
  <c r="F63" i="12"/>
  <c r="E63" i="12"/>
  <c r="D63" i="12"/>
  <c r="C63" i="12"/>
  <c r="I62" i="12"/>
  <c r="H62" i="12"/>
  <c r="F62" i="12"/>
  <c r="F60" i="12" s="1"/>
  <c r="I61" i="12"/>
  <c r="H61" i="12"/>
  <c r="F61" i="12"/>
  <c r="I60" i="12"/>
  <c r="H60" i="12"/>
  <c r="I59" i="12"/>
  <c r="H59" i="12"/>
  <c r="I58" i="12"/>
  <c r="H58" i="12"/>
  <c r="I57" i="12"/>
  <c r="H57" i="12"/>
  <c r="I56" i="12"/>
  <c r="H56" i="12"/>
  <c r="I55" i="12"/>
  <c r="H55" i="12"/>
  <c r="I54" i="12"/>
  <c r="H54" i="12"/>
  <c r="I53" i="12"/>
  <c r="H53" i="12"/>
  <c r="I52" i="12"/>
  <c r="H52" i="12"/>
  <c r="I51" i="12"/>
  <c r="H51" i="12"/>
  <c r="I50" i="12"/>
  <c r="H50" i="12"/>
  <c r="F50" i="12"/>
  <c r="I49" i="12"/>
  <c r="D49" i="12"/>
  <c r="H49" i="12" s="1"/>
  <c r="I48" i="12"/>
  <c r="H48" i="12"/>
  <c r="F48" i="12"/>
  <c r="I47" i="12"/>
  <c r="H47" i="12"/>
  <c r="I46" i="12"/>
  <c r="H46" i="12"/>
  <c r="F46" i="12"/>
  <c r="I45" i="12"/>
  <c r="H45" i="12"/>
  <c r="K44" i="12"/>
  <c r="K40" i="12" s="1"/>
  <c r="J44" i="12"/>
  <c r="J40" i="12" s="1"/>
  <c r="G44" i="12"/>
  <c r="G40" i="12" s="1"/>
  <c r="F44" i="12"/>
  <c r="I43" i="12"/>
  <c r="H43" i="12"/>
  <c r="I42" i="12"/>
  <c r="H42" i="12"/>
  <c r="I41" i="12"/>
  <c r="H41" i="12"/>
  <c r="E40" i="12"/>
  <c r="C40" i="12"/>
  <c r="I36" i="12"/>
  <c r="H36" i="12"/>
  <c r="I35" i="12"/>
  <c r="H35" i="12"/>
  <c r="K34" i="12"/>
  <c r="J34" i="12"/>
  <c r="G34" i="12"/>
  <c r="F34" i="12"/>
  <c r="E34" i="12"/>
  <c r="D34" i="12"/>
  <c r="C34" i="12"/>
  <c r="I33" i="12"/>
  <c r="H33" i="12"/>
  <c r="I32" i="12"/>
  <c r="H32" i="12"/>
  <c r="I31" i="12"/>
  <c r="H31" i="12"/>
  <c r="I30" i="12"/>
  <c r="H30" i="12"/>
  <c r="I29" i="12"/>
  <c r="H29" i="12"/>
  <c r="I28" i="12"/>
  <c r="H28" i="12"/>
  <c r="I27" i="12"/>
  <c r="H27" i="12"/>
  <c r="K26" i="12"/>
  <c r="J26" i="12"/>
  <c r="G26" i="12"/>
  <c r="F26" i="12"/>
  <c r="F19" i="12" s="1"/>
  <c r="E26" i="12"/>
  <c r="D26" i="12"/>
  <c r="C26" i="12"/>
  <c r="I25" i="12"/>
  <c r="H25" i="12"/>
  <c r="I24" i="12"/>
  <c r="H24" i="12"/>
  <c r="I23" i="12"/>
  <c r="H23" i="12"/>
  <c r="I22" i="12"/>
  <c r="H22" i="12"/>
  <c r="H21" i="12"/>
  <c r="K20" i="12"/>
  <c r="K19" i="12" s="1"/>
  <c r="J20" i="12"/>
  <c r="G20" i="12"/>
  <c r="I20" i="12" s="1"/>
  <c r="F20" i="12"/>
  <c r="E20" i="12"/>
  <c r="E19" i="12" s="1"/>
  <c r="D20" i="12"/>
  <c r="C20" i="12"/>
  <c r="J19" i="12"/>
  <c r="I18" i="12"/>
  <c r="H18" i="12"/>
  <c r="I17" i="12"/>
  <c r="H17" i="12"/>
  <c r="K16" i="12"/>
  <c r="J16" i="12"/>
  <c r="G16" i="12"/>
  <c r="F16" i="12"/>
  <c r="E16" i="12"/>
  <c r="D16" i="12"/>
  <c r="C16" i="12"/>
  <c r="I15" i="12"/>
  <c r="H15" i="12"/>
  <c r="I14" i="12"/>
  <c r="H14" i="12"/>
  <c r="I13" i="12"/>
  <c r="H13" i="12"/>
  <c r="K12" i="12"/>
  <c r="J12" i="12"/>
  <c r="G12" i="12"/>
  <c r="F12" i="12"/>
  <c r="E12" i="12"/>
  <c r="D12" i="12"/>
  <c r="C12" i="12"/>
  <c r="I11" i="12"/>
  <c r="H11" i="12"/>
  <c r="I10" i="12"/>
  <c r="H10" i="12"/>
  <c r="K9" i="12"/>
  <c r="J9" i="12"/>
  <c r="G9" i="12"/>
  <c r="F9" i="12"/>
  <c r="F8" i="12" s="1"/>
  <c r="E9" i="12"/>
  <c r="D9" i="12"/>
  <c r="C9" i="12"/>
  <c r="G69" i="12" l="1"/>
  <c r="D40" i="12"/>
  <c r="D39" i="12" s="1"/>
  <c r="D38" i="12" s="1"/>
  <c r="E39" i="12"/>
  <c r="E38" i="12" s="1"/>
  <c r="I26" i="12"/>
  <c r="G120" i="12"/>
  <c r="H69" i="12"/>
  <c r="C19" i="12"/>
  <c r="F37" i="12"/>
  <c r="F59" i="12"/>
  <c r="J39" i="12"/>
  <c r="J38" i="12" s="1"/>
  <c r="K120" i="12"/>
  <c r="K121" i="12" s="1"/>
  <c r="K122" i="12"/>
  <c r="J122" i="12"/>
  <c r="J120" i="12"/>
  <c r="J121" i="12" s="1"/>
  <c r="H12" i="12"/>
  <c r="G104" i="12"/>
  <c r="I104" i="12" s="1"/>
  <c r="I63" i="12"/>
  <c r="D8" i="12"/>
  <c r="C8" i="13"/>
  <c r="C23" i="13" s="1"/>
  <c r="K39" i="12"/>
  <c r="K38" i="12" s="1"/>
  <c r="D23" i="13"/>
  <c r="D19" i="12"/>
  <c r="F69" i="12"/>
  <c r="H63" i="12"/>
  <c r="I12" i="12"/>
  <c r="H92" i="12"/>
  <c r="H9" i="12"/>
  <c r="E8" i="12"/>
  <c r="E37" i="12" s="1"/>
  <c r="I34" i="12"/>
  <c r="I9" i="12"/>
  <c r="H34" i="12"/>
  <c r="F58" i="12"/>
  <c r="F56" i="12" s="1"/>
  <c r="G8" i="12"/>
  <c r="H20" i="12"/>
  <c r="I69" i="12"/>
  <c r="C8" i="12"/>
  <c r="K8" i="12"/>
  <c r="K37" i="12" s="1"/>
  <c r="J8" i="12"/>
  <c r="J37" i="12" s="1"/>
  <c r="C39" i="12"/>
  <c r="C38" i="12" s="1"/>
  <c r="E23" i="13"/>
  <c r="G39" i="12"/>
  <c r="H40" i="12"/>
  <c r="I40" i="12"/>
  <c r="H16" i="12"/>
  <c r="H26" i="12"/>
  <c r="I16" i="12"/>
  <c r="H44" i="12"/>
  <c r="G19" i="12"/>
  <c r="I44" i="12"/>
  <c r="J103" i="12" l="1"/>
  <c r="J112" i="12" s="1"/>
  <c r="J114" i="12" s="1"/>
  <c r="H8" i="12"/>
  <c r="K103" i="12"/>
  <c r="I8" i="12"/>
  <c r="C37" i="12"/>
  <c r="C103" i="12" s="1"/>
  <c r="C112" i="12" s="1"/>
  <c r="H104" i="12"/>
  <c r="D37" i="12"/>
  <c r="D103" i="12" s="1"/>
  <c r="D112" i="12" s="1"/>
  <c r="K112" i="12"/>
  <c r="K114" i="12" s="1"/>
  <c r="E103" i="12"/>
  <c r="E112" i="12" s="1"/>
  <c r="F57" i="12"/>
  <c r="F55" i="12" s="1"/>
  <c r="F53" i="12" s="1"/>
  <c r="F54" i="12"/>
  <c r="F40" i="12" s="1"/>
  <c r="F39" i="12" s="1"/>
  <c r="F38" i="12" s="1"/>
  <c r="F103" i="12" s="1"/>
  <c r="F112" i="12" s="1"/>
  <c r="I19" i="12"/>
  <c r="H19" i="12"/>
  <c r="G37" i="12"/>
  <c r="H39" i="12"/>
  <c r="G38" i="12"/>
  <c r="I39" i="12"/>
  <c r="I38" i="12" l="1"/>
  <c r="H38" i="12"/>
  <c r="G103" i="12"/>
  <c r="I37" i="12"/>
  <c r="H37" i="12"/>
  <c r="H103" i="12" l="1"/>
  <c r="G112" i="12"/>
  <c r="I103" i="12"/>
  <c r="I112" i="12" l="1"/>
  <c r="H112" i="12"/>
  <c r="E67" i="9" l="1"/>
  <c r="E68" i="9"/>
  <c r="E69" i="9"/>
  <c r="E70" i="9"/>
  <c r="E71" i="9"/>
  <c r="E72" i="9"/>
  <c r="E73" i="9"/>
  <c r="E74" i="9"/>
  <c r="E75" i="9"/>
  <c r="E76" i="9"/>
  <c r="E77" i="9"/>
  <c r="E78" i="9"/>
  <c r="E79" i="9"/>
  <c r="E80" i="9"/>
  <c r="E81" i="9"/>
  <c r="E82" i="9"/>
  <c r="E83" i="9"/>
  <c r="E84" i="9"/>
  <c r="E85" i="9"/>
  <c r="E86" i="9"/>
  <c r="E87" i="9"/>
  <c r="E88" i="9"/>
  <c r="E90" i="9"/>
  <c r="E92" i="9"/>
  <c r="E93" i="9"/>
  <c r="E94" i="9"/>
  <c r="E95" i="9"/>
  <c r="E96" i="9"/>
  <c r="E97" i="9"/>
  <c r="E66" i="9"/>
  <c r="E11" i="9"/>
  <c r="E18" i="9" l="1"/>
  <c r="E17" i="9" s="1"/>
  <c r="E32" i="9"/>
  <c r="E64" i="9"/>
  <c r="E63" i="9"/>
  <c r="E62" i="9"/>
  <c r="E61" i="9"/>
  <c r="E60" i="9"/>
  <c r="E59" i="9"/>
  <c r="E58" i="9"/>
  <c r="E57" i="9"/>
  <c r="E56" i="9"/>
  <c r="E55" i="9"/>
  <c r="E54" i="9"/>
  <c r="E53" i="9"/>
  <c r="E52" i="9"/>
  <c r="E51" i="9"/>
  <c r="E50" i="9"/>
  <c r="E49" i="9"/>
  <c r="E48" i="9"/>
  <c r="E47" i="9"/>
  <c r="E46" i="9"/>
  <c r="E45" i="9"/>
  <c r="E44" i="9"/>
  <c r="E43" i="9"/>
  <c r="E42" i="9"/>
  <c r="E41" i="9"/>
  <c r="E40" i="9"/>
  <c r="E35" i="9"/>
  <c r="E34" i="9"/>
  <c r="E30" i="9"/>
  <c r="E29" i="9"/>
  <c r="E28" i="9"/>
  <c r="E27" i="9"/>
  <c r="E26" i="9"/>
  <c r="E24" i="9"/>
  <c r="E23" i="9"/>
  <c r="E22" i="9"/>
  <c r="E21" i="9"/>
  <c r="E16" i="9"/>
  <c r="E15" i="9"/>
  <c r="E14" i="9"/>
  <c r="E12" i="9"/>
  <c r="D65" i="9"/>
  <c r="D39" i="9"/>
  <c r="D38" i="9" s="1"/>
  <c r="D33" i="9"/>
  <c r="D25" i="9"/>
  <c r="D20" i="9"/>
  <c r="D17" i="9"/>
  <c r="D13" i="9"/>
  <c r="D10" i="9"/>
  <c r="E33" i="9" l="1"/>
  <c r="E39" i="9"/>
  <c r="D19" i="9"/>
  <c r="E20" i="9"/>
  <c r="D9" i="9"/>
  <c r="E10" i="9"/>
  <c r="E25" i="9"/>
  <c r="E13" i="9"/>
  <c r="E38" i="9"/>
  <c r="D37" i="9"/>
  <c r="E9" i="9" l="1"/>
  <c r="D36" i="9"/>
  <c r="D99" i="9" s="1"/>
  <c r="D101" i="9" s="1"/>
  <c r="E19" i="9"/>
  <c r="E36" i="9" l="1"/>
  <c r="C91" i="9"/>
  <c r="E91" i="9" s="1"/>
  <c r="C89" i="9"/>
  <c r="E89" i="9" s="1"/>
  <c r="E65" i="9" l="1"/>
  <c r="E37" i="9" s="1"/>
  <c r="E99" i="9" s="1"/>
  <c r="E101" i="9" s="1"/>
  <c r="C20" i="9"/>
  <c r="C39" i="9"/>
  <c r="C38" i="9" l="1"/>
  <c r="C65" i="9"/>
  <c r="C33" i="9"/>
  <c r="C25" i="9"/>
  <c r="C17" i="9"/>
  <c r="C13" i="9"/>
  <c r="C10" i="9"/>
  <c r="C9" i="9" l="1"/>
  <c r="C19" i="9"/>
  <c r="C37" i="9"/>
  <c r="C36" i="9" l="1"/>
  <c r="C99" i="9" s="1"/>
  <c r="C101" i="9" s="1"/>
  <c r="C104" i="9" s="1"/>
  <c r="C92" i="8" l="1"/>
  <c r="C87" i="8"/>
  <c r="C81" i="8"/>
  <c r="C76" i="8"/>
  <c r="C74" i="8"/>
  <c r="C70" i="8"/>
  <c r="C50" i="8"/>
  <c r="C48" i="8"/>
  <c r="C22" i="8"/>
  <c r="C21" i="8" s="1"/>
  <c r="C17" i="8"/>
  <c r="C13" i="8"/>
  <c r="C11" i="8"/>
  <c r="C72" i="8" l="1"/>
  <c r="C20" i="8"/>
  <c r="C86" i="8"/>
  <c r="C10" i="8"/>
  <c r="C19" i="8" l="1"/>
  <c r="C103" i="8" s="1"/>
  <c r="C105" i="8" s="1"/>
  <c r="C108" i="8" s="1"/>
</calcChain>
</file>

<file path=xl/sharedStrings.xml><?xml version="1.0" encoding="utf-8"?>
<sst xmlns="http://schemas.openxmlformats.org/spreadsheetml/2006/main" count="520" uniqueCount="304">
  <si>
    <t>Eil. Nr.</t>
  </si>
  <si>
    <t>Pajamų rūšys</t>
  </si>
  <si>
    <t>1.</t>
  </si>
  <si>
    <t>Mokesčiai</t>
  </si>
  <si>
    <t>1.1.</t>
  </si>
  <si>
    <t xml:space="preserve">Gyventojų pajamų mokestis </t>
  </si>
  <si>
    <t>1.1.1.</t>
  </si>
  <si>
    <t>1.2.</t>
  </si>
  <si>
    <t>Turto mokesčiai</t>
  </si>
  <si>
    <t>1.2.1.</t>
  </si>
  <si>
    <t>Žemės mokestis</t>
  </si>
  <si>
    <t>1.2.2.</t>
  </si>
  <si>
    <t>Nekilnojamojo turto mokestis</t>
  </si>
  <si>
    <t>Paveldimo turto mokestis</t>
  </si>
  <si>
    <t>1.3.</t>
  </si>
  <si>
    <t>Prekių ir paslaugų mokesčiai</t>
  </si>
  <si>
    <t>1.3.1.</t>
  </si>
  <si>
    <t>Mokestis už aplinkos teršimą</t>
  </si>
  <si>
    <t>Valstybės rinkliavos</t>
  </si>
  <si>
    <t>Vietinės rinkliavos</t>
  </si>
  <si>
    <t>2.</t>
  </si>
  <si>
    <t>2.1.</t>
  </si>
  <si>
    <t>Valstybinėms (perduotoms savivaldybėms) funkcijoms atlikti, iš jų:</t>
  </si>
  <si>
    <t>duomenims Suteiktos valstybės pagalbos registrui teikti</t>
  </si>
  <si>
    <t>valstybinės kalbos vartojimo ir taisyklingumo kontrolei</t>
  </si>
  <si>
    <t>socialinėms išmokoms ir kompensacijoms skaičiuoti ir mokėti</t>
  </si>
  <si>
    <t>socialinei paramai mokiniams</t>
  </si>
  <si>
    <t>socialinėms paslaugoms</t>
  </si>
  <si>
    <t>civilinės būklės aktams registruoti</t>
  </si>
  <si>
    <t>valstybės garantuojamai pirminei teisinei pagalbai teikti</t>
  </si>
  <si>
    <t>gyventojų registrui tvarkyti ir duomenims valstybės registrams teikti</t>
  </si>
  <si>
    <t>civilinei saugai</t>
  </si>
  <si>
    <t>gyvenamosios vietos deklaravimo duomenų ir gyvenamosios vietos neturinčių asmenų apskaitos duomenims tvarkyti</t>
  </si>
  <si>
    <t>savivaldybei priskirtai valstybinei žemei ir kitam valstybės turtui valdyti, naudoti ir disponuoti juo patikėjimo teise</t>
  </si>
  <si>
    <t>žemės ūkio funkcijoms atlikti</t>
  </si>
  <si>
    <t>savivaldybėms priskirtiems archyviniams dokumentams tvarkyti</t>
  </si>
  <si>
    <t>2.2.</t>
  </si>
  <si>
    <t>Savivaldybių mokykloms (klasėms), skirtoms šalies (regiono) mokiniams, turintiems specialiųjų ugdymosi poreikių, išlaikyti</t>
  </si>
  <si>
    <t>Sveikatos apsaugos ministerija</t>
  </si>
  <si>
    <t>3.</t>
  </si>
  <si>
    <t>Kitos pajamos</t>
  </si>
  <si>
    <t>3.1.</t>
  </si>
  <si>
    <t>Turto pajamos</t>
  </si>
  <si>
    <t>3.1.1.</t>
  </si>
  <si>
    <t>3.1.2.</t>
  </si>
  <si>
    <t>3.1.3.</t>
  </si>
  <si>
    <t>3.1.4.</t>
  </si>
  <si>
    <t>3.2.</t>
  </si>
  <si>
    <t>Pajamos už prekes ir paslaugas</t>
  </si>
  <si>
    <t>3.2.1.</t>
  </si>
  <si>
    <t>3.2.2.</t>
  </si>
  <si>
    <t>3.2.3.</t>
  </si>
  <si>
    <t>3.3.</t>
  </si>
  <si>
    <t>Kitos neišvardintos pajamos</t>
  </si>
  <si>
    <t>Visagino savivaldybės tarybos</t>
  </si>
  <si>
    <t>1 priedas</t>
  </si>
  <si>
    <t>būsto nuomos ar išperkamosios būsto nuomos mokesčių dalies kompensacijoms</t>
  </si>
  <si>
    <t>Einamiesiems tikslams</t>
  </si>
  <si>
    <t>2.1.1.</t>
  </si>
  <si>
    <t>Speciali tikslinė dotacija - iš viso</t>
  </si>
  <si>
    <t>2.1.1.1.</t>
  </si>
  <si>
    <t>visuomenės sveikatos priežiūros funkcijoms vykdyti</t>
  </si>
  <si>
    <t>2.1.1.2.</t>
  </si>
  <si>
    <t>2.1.1.3.</t>
  </si>
  <si>
    <t>2.1.2.</t>
  </si>
  <si>
    <t>2.2.1.</t>
  </si>
  <si>
    <t>Kiti mokesčiai už valstybinius gamtos išteklius</t>
  </si>
  <si>
    <t>Įmokos už išlaikymą švietimo, socialinės apsaugos ir kitose įstaigose</t>
  </si>
  <si>
    <t>Materialiojo ir nematerialiojo turto realizavimo pajamos</t>
  </si>
  <si>
    <t>4.</t>
  </si>
  <si>
    <t>IŠ VISO PAJAMŲ</t>
  </si>
  <si>
    <t>Finansinių įsipareigojimų prisiėmimo (skolinimosi) pajamos</t>
  </si>
  <si>
    <t>2.2.2.</t>
  </si>
  <si>
    <t>Lietuvos automobilių kelių direkcija prie Susisiekimo ministerijos (Savivaldybėms vietinės reikšmės keliams (gatvėms) tiesti, taisyti, prižiūrėti ir saugaus eismo sąlygoms užtikrinti)</t>
  </si>
  <si>
    <t>Tūkst. Eur</t>
  </si>
  <si>
    <t>2.1.3.</t>
  </si>
  <si>
    <t>5.</t>
  </si>
  <si>
    <t>Dividendai</t>
  </si>
  <si>
    <t>iš jų projektui „Neformaliojo švietimo paslaugų plėtra“</t>
  </si>
  <si>
    <t>neveiksnių asmenų būklės peržiūrėjimui užtikrinti</t>
  </si>
  <si>
    <t>valstybės biudžeto lėšos, skirtos neformaliajam vaikų švietimui</t>
  </si>
  <si>
    <t>1.2.3.</t>
  </si>
  <si>
    <t>2.2.3.</t>
  </si>
  <si>
    <t>valstybės biudžeto lėšos, skirtos valstybės ir savivaldybių įstaigų darbuotojų darbo apmokėjimo įstatymui laipsniškai įgyvendinti</t>
  </si>
  <si>
    <t>Finansų ministerija</t>
  </si>
  <si>
    <t>Dotacijos iš kitų valdžios sektoriaus subjektų</t>
  </si>
  <si>
    <t xml:space="preserve">Nuomos mokestis už valstybinę žemę </t>
  </si>
  <si>
    <t>Mokestis už medžiojamųjų gyvūnų išteklius</t>
  </si>
  <si>
    <t>Pajamos už ilgalaikio ir trumpalaikio materialiojo turto nuomą</t>
  </si>
  <si>
    <t>3.2.4.</t>
  </si>
  <si>
    <t>3.2.5.</t>
  </si>
  <si>
    <t>4.1.</t>
  </si>
  <si>
    <t>Žemės realizavimo pajamos</t>
  </si>
  <si>
    <t>Pastatų ir statinių realizavimo pajamos</t>
  </si>
  <si>
    <t>Dotacijos savivaldybėms iš Europos Sąjungos, kitos tarptautinės finansinės paramos ir bendrojo finansavimo lėšų turtui įsigyti</t>
  </si>
  <si>
    <t>Dotacijos savivaldybėms iš Europos Sąjungos, kitos tarptautinės finansinės paramos ir bendrojo finansavimo lėšų einamiesiems tikslams</t>
  </si>
  <si>
    <t>jaunimo teisių apsaugai</t>
  </si>
  <si>
    <t>Ugdymo reikmėms finansuoti</t>
  </si>
  <si>
    <t>dalyvauti rengiant ir vykdant mobilizaciją, demobilizaciją, priimančios šalies paramą</t>
  </si>
  <si>
    <t>savivaldybių patvirtintoms  užimtumo programoms įgyvendinti</t>
  </si>
  <si>
    <t>2.1.4.</t>
  </si>
  <si>
    <t>Valstybės biudžeto lėšos, skirtos Valstybės investicijų 2019-2021 metų programoje numatitoms valstybės kapitalo investicijoms</t>
  </si>
  <si>
    <t>Švietimo, mokslo ir sporto ministerija</t>
  </si>
  <si>
    <t>Ekonomikos ir inovacijų ministerija</t>
  </si>
  <si>
    <t>2.1.6.</t>
  </si>
  <si>
    <t>Pajamos iš baudų, konfiskuoto turto ir kitų netesybų</t>
  </si>
  <si>
    <t>4.2.</t>
  </si>
  <si>
    <t>Kitos dotacijos, iš jų:</t>
  </si>
  <si>
    <t>Valstybės biudžeto speciali tikslinė dotacija pagal 2014–2020 metų Europos Sąjungos fondų investicijų veiksmų programą   įgyvendinamų projektų nuosavam indėliui užtikrinti</t>
  </si>
  <si>
    <t>savivaldybėms priskirtiems geodezijos ir kartografijos darbams (savivaldybių erdvinių duomenų rinkiniams tvarkyti) organizuoti ir vykdyti</t>
  </si>
  <si>
    <t>Valstybės biudžeto lėšos, skirtos Valstybės investicijų 2020–2022 metų programoje numatytoms valstybės kapitalo investicijoms</t>
  </si>
  <si>
    <t>Praėjusių metų nepanaudota pajamų dalis (apyvartinės lėšos)</t>
  </si>
  <si>
    <t>Iš viso su praėjusių metų nepanaudotomis lėšomis</t>
  </si>
  <si>
    <t>Biudžetinių įstaigų pajamos už prekes ir paslaugas</t>
  </si>
  <si>
    <t>3.4.</t>
  </si>
  <si>
    <t>Valstybės biudžeto lėšos, skirtos iš Lietuvos Respublikos švietimo, mokslo ir sporto ministerijos  skaitmenino ugdymo plėtrai</t>
  </si>
  <si>
    <t>koordinuotai teikiamų paslaugų vaikams nuo gimimo iki 18 metų (turintiems didelių ir labai didelių specialiųjų ugdymosi poreikių – iki 21 metų) ir vaiko atstovams pagal įstatymą koordinavimas</t>
  </si>
  <si>
    <t>Valstybės biudžeto lėšos, skirtos iš Lietuvos Respublikos švietimo, mokslo ir sporto ministerijos  neformaliojo vaikų švietimo programoms finansuoti</t>
  </si>
  <si>
    <t>Valstybės biudžeto lėšos, skirtos iš Lietuvos Respublikos kultūros ministerijos  savivaldybių viešosioms bibliotekoms dokumentams įsigyti</t>
  </si>
  <si>
    <t>Valstybės biudžeto lėšos, skirtos iš Lietuvos Respublikos finansų ministerijos  pagal 2014–2020 metų Europos Sąjungos fondų investicijų veiksmų programą  įgyvendinamų projektų nuosavam indėliui užtikrinti</t>
  </si>
  <si>
    <t>Valstybės biudžeto lėšos, skirtos iš Lietuvos Respublikos kultūros ministerijos  savivaldybių kultūros darbuotojų darbo užmokesčiui padidinti</t>
  </si>
  <si>
    <t>Valstybės biudžeto lėšos, skirtos iš Lietuvos Respublikos socialinės apsaugos ir darbo ministerijos  savivaldybių akredituotai vaikų dienos socialinei priežiūrai organizuoti, teikti ir administruoti</t>
  </si>
  <si>
    <t>VISAGINO SAVIVALDYBĖS 2021 METŲ BIUDŽETO PAJAMOS</t>
  </si>
  <si>
    <t>Valstybės biudžeto lėšos, skirtos iš Lietuvos Respublikos socialinės apsaugos ir darbo ministerijos  socialinių paslaugų šakos kolektyvinės sutarties įsipareigojimams įgyvendinti</t>
  </si>
  <si>
    <t>Valstybės biudžeto lėšos, skirtos iš Lietuvos Respublikos energetikos  ministerijos , skirtos priemonei „Saulės jėgainių Visagine įrengimas“</t>
  </si>
  <si>
    <t>Valstybės biudžeto lėšos, skirtos iš Lietuvos Respublikos aplinkos ministerijos projektui „Vandens transporto priemonių nuleidimo vietų įrengimas Visagino ežere“</t>
  </si>
  <si>
    <t>Valstybės biudžeto lėšos, skirtos iš Lietuvos Respublikos švietimo, mokslo ir sporto ministerijos  konsultacijoms mokiniams, patirtiems mokymosi sunkumų, finansuoti</t>
  </si>
  <si>
    <t>Valstybės biudžeto lėšos, skirtos iš Lietuvos Respublikos vidaus reikalų ministerijos priemonei „Pasirengti galimai avarijai Astravo AE“ įgyvendinti</t>
  </si>
  <si>
    <t>redakcija)</t>
  </si>
  <si>
    <t>2021 m.  vasario 18 d. sprendimo Nr. TS-17</t>
  </si>
  <si>
    <t>Turtui įsigyti:</t>
  </si>
  <si>
    <t>Valstybės biudžeto lėšos, skirtos iš Lietuvos Respublikos švietimo, mokslo ir sporto ministerijos įsteigti naujas mokytojų padėjėjų pareigybes savivaldybėse</t>
  </si>
  <si>
    <t>Valstybės biudžeto lėšos, skirtos iš Lietuvos Respublikos finansų ministerijos  2020 metų savivaldybių biudžetų negautų pajamų padengimui</t>
  </si>
  <si>
    <t>Valstybės biudžeto lėšos, skirtos iš Lietuvos Respublikos švietimo, mokslo ir sporto ministerijos mokiniams, pasirinkusių laikyti brandos egzaminus 2021 metais ir dėl COVID-19 pandemijos patyrusių mokymosi praradimų konsultacijoms finansuoti</t>
  </si>
  <si>
    <t>(2021 m. balandžio __ d. sprendimo Nr. TS-___</t>
  </si>
  <si>
    <t>2021 m. planas iš viso</t>
  </si>
  <si>
    <t xml:space="preserve">Valstybės biudžeto lėšos, skirtos iš Lietuvos Respublikos sveikatos apsaugos ministerijos LNSS įstaigų ir LNSS nepriklausančių įstaigų patirtoms išlaidoms, susijusioms su šių įstaigų darbuotojų darboužmokesčio didinimu, kompensuoti </t>
  </si>
  <si>
    <t xml:space="preserve">Valstybės biudžeto lėšos, skirtos iš Lietuvos Respublikossveikatos apsaugos ministerijos, įstaigų patirtų išlaidų už skiepijimo nuo COVIS-19 ligos (koronoviruso infekcijos) paslaugoms kompensuoti </t>
  </si>
  <si>
    <t>Valstybės biudžeto lėšos, skirtos iš Lietuvos Respublikos Vyriausybės rezervo COVID-19 ligos (koronoviruso infekcijos) padariniams šalinti ir jos plitimui esant valstybės lygio ekstrimaliajai situacijai valdyti</t>
  </si>
  <si>
    <t>Gyventojų pajamų mokestis (pagal 5 priedą)</t>
  </si>
  <si>
    <t>1.1.2.</t>
  </si>
  <si>
    <t>Gyventojų pajamų mokestis, mokamas už pajamas, gautas iš veiklos, kuria verčiamasi turint verslo liudijimą</t>
  </si>
  <si>
    <t>2.2.4.</t>
  </si>
  <si>
    <t>2.2.5.</t>
  </si>
  <si>
    <t>2.3.</t>
  </si>
  <si>
    <t>Speciali tikslinė dotacija savivaldybėms- iš viso</t>
  </si>
  <si>
    <t>4.1.1.</t>
  </si>
  <si>
    <t>duomenims į Suteiktos valstybės pagalbos ir nereikšmingos pagalbos registrą teikti</t>
  </si>
  <si>
    <t>iš jų Astravo atominės elektrinės branduolinei avarijai pasirengti</t>
  </si>
  <si>
    <t>4.1.1.1.</t>
  </si>
  <si>
    <t>4.1.1.2.</t>
  </si>
  <si>
    <t>4.1.1.3.</t>
  </si>
  <si>
    <t>Valstybės biudžeto lėšos, skirtos iš Lietuvos Respublikos socialinės apsaugos ir darbo ministerijos  biudžetinių įstaigų vadovaujančių darbuotojų minimaliems pareiginės algos koeficientams padidinti</t>
  </si>
  <si>
    <t>Valstybės biudžeto lėšos, skirtos iš Lietuvos Respublikos socialinės apsaugos ir darbo ministerijos  asmeninei pagalbai teikti ir administruoti</t>
  </si>
  <si>
    <t>4.1.2.</t>
  </si>
  <si>
    <t>Europos Sąjungos ir kitos tarptautinės finansinės paramos ir bendrojo finansavimo lėšos</t>
  </si>
  <si>
    <t>SAVIVALDYBĖS PAJAMOS</t>
  </si>
  <si>
    <t>Valstybės biudžeto lėšos ir kitos dotacijos, iš jų:</t>
  </si>
  <si>
    <t>Valstybės biudžeto lėšos, skirtos iš Lietuvos Respublikos aplinkos ministerijos projektui „Vandens transporto priemonių nuleidimo vietų įrengimas“</t>
  </si>
  <si>
    <t xml:space="preserve"> Valstybės biudžeto lėšos, skirtos iš Lietuvos Respublikos švietimo, mokslo ir sporto ministerijos pedagoginių darbuotojų, išlaikomų iš savivaldybių biudžetų lėšų (išskyrus valstybės biudžeto specialias tikslinės dotacijas), darbo užmokesčiui  padidinti</t>
  </si>
  <si>
    <t xml:space="preserve">Valstybės biudžeto lėšos, skirtos iš Lietuvos Respublikos socialinės apsaugos ir darbo ministerijos     Lietuvos Respublikos piniginės socialinės paramos nepasiturintiems gyventojams įstatymo įgyvendinimui užtikrinti dėl padidėjusių išlaidų būsto šildymo išlaidų kompensacijoms </t>
  </si>
  <si>
    <t>Valstybės biudžeto lėšos, skirtos iš Lietuvos Respublikos socialinės apsaugos ir darbo ministerijos socialinių paslaugų srities darbuotojų minimaliesiems pareiginės algos pastoviosios dalies koeficientams didinti</t>
  </si>
  <si>
    <t>Valstybės biudžeto lėšos, skirtos iš Lietuvos Respublikos socialinės apsaugos ir darbo ministerijos būstams pritaikyti neįgaliesiems</t>
  </si>
  <si>
    <t>Valstybės biudžeto lėšos, skirtos iš Lietuvos Respublikos švietimo, mokslo ir sporto ministerijos savivaldybių bendrojo ugdymo mokyklų tinklo stiprinimo inciatyvoms skatinti</t>
  </si>
  <si>
    <t>Valstybės biudžeto lėšos, skirtos iš Lietuvos Respublikos švietimo, mokslo ir sporto ministerijos išlaidoms, susijusioms su valstybinių ir savivaldybių mokyklų mokytojų, dirbančių pagal ikimokyklinio, priešmokyklinio, bendrojo ugdymo ir profesinio mokymo programas, personalo optimizavimu ir atnaujinimu, apmokėti</t>
  </si>
  <si>
    <t xml:space="preserve"> Valstybės biudžeto lėšos, skirtos iš Lietuvos Respublikos švietimo, mokslo ir sporto ministerijos vaikų, atvykusių į Lietuvos Respubliką iš Ukrainos dėl Rusijos Federacijos karinių veiksmų Ukrainoje, ugdymui ir pavėžėjimui į mokyklą ir atgal</t>
  </si>
  <si>
    <t>Valstybės biudžeto lėšos, skirtos iš Lietuvos Respublikos socialinės apsaugos ir darbo ministerijos savivaldybėms bendruomeninei veiklai stiprinti</t>
  </si>
  <si>
    <t>Valstybės biudžeto lėšos, skirtos iš Lietuvos Respublikos socialinės apsaugos ir darbo ministerijos institucinei socialinei globai iš užsienio valstybės (-ių), kurią (-ias) ištiko humanitarinė krizė, atvykusiems nelydimiems nepilnamečiams užsieniečiams ar likusiems be tėvų globos vaikams finansuoti</t>
  </si>
  <si>
    <t>Valstybės biudžeto lėšos, skirtos iš  Lietuvos automobilių kelių direkcijos prie Susisiekimo ministerijos (savivaldybėms vietinės reikšmės keliams (gatvėms) tiesti, taisyti, prižiūrėti ir saugaus eismo sąlygoms užtikrinti)</t>
  </si>
  <si>
    <t>Valstybės biudžeto lėšos, skirtos iš Lietuvos Respublikos socialinės apsaugos ir darbo ministerijos, siekiant užtikrinti kompensacijų fiziniams ir juridiniams asmenims, perdavusiems savo būstą ar patalpas neatlygintinai naudotis panaudos pagrindais dėl karinių veiksmų iš Ukrainos pasitraukusiems gyventojams, mokėjimą</t>
  </si>
  <si>
    <t xml:space="preserve"> Valstybės biudžeto lėšos, skirtos iš Lietuvos Respublikos švietimo, mokslo ir sporto ministerijos suaugusių asmenų, atvykusių į Lietuvos Respubliką iš Ukrainos dėl Rusijos Federacijos karinių veiksmų Ukrainoje, lietuvių kalbos mokynui</t>
  </si>
  <si>
    <t>Valstybės biudžeto lėšos, skirtos iš Lietuvos Respublikos socialinės apsaugos ir darbo ministerijos, siekiant užtikrinti Lietuvos Respublikos piniginės socialinės paramos nepasiturintiems gyventojams įstatymo įgyvendinimą dėl valstybės remiamų pajamų dydžio padidinimo patvirtinimo</t>
  </si>
  <si>
    <t>Valstybės biudžeto lėšos, skirtos iš Lietuvos Respublikos socialinės apsaugos ir darbo ministerijos, vienkartinėms išmokoms įsikurti gyvenamoje vietoje savivaldybės teritorijoje ir (ar) mėnesinėms kompensacijoms vaiko ugdymo pagal ikimokyklinio ar priešmokyklinio ugdymo programą išlaidoms finansuoti</t>
  </si>
  <si>
    <t>Valstybės biudžeto lėšos, skirtos iš Lietuvos Respublikos socialinės apsaugos ir darbo ministerijos, užsieniams, pasitraukusiems iš Ukrainos dėl Rusijos Federacijos karinių veiksmų Ukrainoje, priimti ir pagalbai jiems teikti pagal faktines išlaidas (2022 m. birželio 13 d.) užtikrinti</t>
  </si>
  <si>
    <t>Valstybės biudžeto lėšos, skirtos  iš Lietuvos Respublikos Vyriausybės rezervo COVID-19 ligos (koronaviruso infekcijos) padariniams šalinti ir jos plitimui esant valstybės lygio ekstremaliajai situacijai valdyti</t>
  </si>
  <si>
    <t>Valstybės biudžeto lėšos, skirtos  iš Liš Lietuvos Respublikos Vyriausybės rezervo savivaldybių patirtoms išlaidoms valdant nepaprastąją padėtį dėl užsieniečių, pasitraukusių iš Ukrainos dėl Rusijos Federacijos karinių veiksmų Ukrainoje, kompensuoti</t>
  </si>
  <si>
    <t>Specialiosios tikslinės dotacijos lėšos, skirtos iš  Lietuvos Respublikos socialinės apsaugos ir darbo ministerijos pažangos priemonės „Gerinti socialinių paslaugų kokybę ir prieinamumą, didinti socialinės paramos veiksmingumą, kriziniais atvejais šeimoje“ veiklai „Socialinės priežiūros šeimoms teikimas“ įgyvendinti</t>
  </si>
  <si>
    <t>Valstybės biudžeto lėšos, skirtos iš Lietuvos Respublikos socialinės apsaugos ir darbo ministerijos, siekiant kompensuoti iki 2022 m. rugpjūčio 31 d. patirtas išlaidas užsieniečiams, pasitraukusiems iš Ukrainos dėl Rusijos Federacijos karinių veiksmų Ukrainoje, priimti ir pagalbai jiems teikti įgyvendinant Lietuvos Respublikos piniginės socialinės paramos nepasiturintiems gyventojams įstatymą</t>
  </si>
  <si>
    <t xml:space="preserve">Valstybės biudžeto lėšos, skirtos iš Lietuvos Respublikos socialinės apsaugos ir darbo ministerijos, integraliai pagalbai teikti </t>
  </si>
  <si>
    <t>alstybės biudžeto lėšos, skirtos iš Lietuvos Respublikos socialinės apsaugos ir darbo ministerijos priemonės „Užtikrinti kompensacijų sovietinėje armijoje sužalotiems asmenims ir šioje armijoje žuvusiųjų  šeimoms mokėjimą“ įgyvendinti</t>
  </si>
  <si>
    <t>2023 m. planas iš viso</t>
  </si>
  <si>
    <t>Ugdymo reikmėms finansuoti iš valstybės lėšų</t>
  </si>
  <si>
    <t>VISAGINO SAVIVALDYBĖS 2023 METŲ BIUDŽETO PAJAMOS</t>
  </si>
  <si>
    <t>4.1.1.4.</t>
  </si>
  <si>
    <t>Valstybės biudžeto lėšos, skirtos iš Lietuvos Respublikos socialinės apsaugos ir darbo ministerijos socialinės reabilitacijos paslaugų neįgaliesiems teikimo bendruomenėje projektams  finansuoti ir administruoti</t>
  </si>
  <si>
    <t xml:space="preserve">Valstybės biudžeto lėšos, skirtos iš Lietuvos Respublikos socialinės apsaugos ir darbo ministerijos  kompleksinėms paslaugoms šeimai organizuoti </t>
  </si>
  <si>
    <t>Ugdymo reikmėms finansuoti iš valstybės vardu pasiskolintų  lėšų</t>
  </si>
  <si>
    <t>patikslinimai</t>
  </si>
  <si>
    <t>Priedas prie aiškinamojo rašto</t>
  </si>
  <si>
    <t>Patikslintas planas</t>
  </si>
  <si>
    <t>Valstybės biudžeto lėšos, skirtos iš Lietuvos Respublikos socialinės apsaugos ir darbo ministerijos  būstų nuomai iš fizinių ar juridinių asmenų apmokėti</t>
  </si>
  <si>
    <t>Valstybės biudžeto lėšos, skirtos iš Lietuvos Respublikos socialinės apsaugos ir darbo ministerijos neįgaliųjų reikalų koordinatorių funkcijai vykdyti</t>
  </si>
  <si>
    <t>2.4.</t>
  </si>
  <si>
    <t>Valstybės biudžeto lėšos, skirtos iš Lietuvos Respublikos švietimo, mokslo ir sporto ministerijos  savivaldybių mokyklų profesiniam mokymui</t>
  </si>
  <si>
    <t>savivaldybės teritorijoje esančių  miestų ir miestelių teritorijų ribose valstybinės žemės, perduotos Lietuvos Respublikos Vyriausybės nutarimu,  patikėtinio funkcijai atlikti</t>
  </si>
  <si>
    <t>Valstybės biudžeto lėšos, skirtos iš Lietuvos Respublikos socialinės apsaugos ir darbo ministerijos išlaidoms, patirtoms teikiant socialnę pašalpą, būsto šildymo išlaidų, geriamojo vandens išlaidų ir karšto vandens išlaidų kompensacijas, skiriamas vadovaujantis  Lietuvos Respublikos piniginės socialinės paramos nepasiturintiems gyventojams  įstatymu  Ukrainos gyventojams, nukentėjusiems dėl Rusijos Federacijos karinės agresijos prieš Ukrainą, padengti</t>
  </si>
  <si>
    <t>Valstybės biudžeto lėšos, skirtos iš Lietuvos Respublikos socialinės apsaugos ir darbo ministerijos išlaidoms, patirtoms mokant laidojimo pašalpą pagal Lietuvos Respublikos paramos mirties atveju įstatymą  ir teikiant socialinę paramą mokiniams pagal Lietuvos Respublikos socialinės paramos įstatymą Ukrainos gyventojams, nukentėjusiems dėl Rusijos Federacijos karinės agresijos prieš Ukrainą, padengti</t>
  </si>
  <si>
    <t>Valstybės biudžeto lėšos, skirtos iš Lietuvos Respublikos švietimo, mokslo ir sporto ministerijos vaikų, atvykusių į Lietuvos Respubliką iš Ukrainos dėl Rusijos Federacijos karinių veiksmų Ukrainoje, pavėžėjimui į mokyklą ir atgal ir pedagoginių darbuotojų papildomam darbui apmokėti</t>
  </si>
  <si>
    <t xml:space="preserve">Praėjusių metų nepanaudota pajamų dalis </t>
  </si>
  <si>
    <t>Valstybės biudžeto lėšos, skirtos iš Lietuvos Respublikos socialinės apsaugos ir darbo ministerijos laikino atokvėpio paslaugai teikti ir administruoti</t>
  </si>
  <si>
    <t>Valstybės biudžeto lėšos, skirtos iš Lietuvos Respublikos socialinės apsaugos ir darbo ministerijos išlaidoms, patirtoms teikiant paramą būstui išnuomoti pagal Lietuvos Respublikos paramos būstui įsigyti ar išnuomoti įstatymą užsieniečiams,  pasitraukusiems iš Ukrainos dėl Rusijos Federacijos agresijos</t>
  </si>
  <si>
    <t>Valstybės biudžeto lėšos, skirtos iš Lietuvos Respublikos švietimo, mokslo ir sporto ministerijos ugdymo, mokyklų aprūpinimo geltonaisiais autobusais programai įgyvendinti</t>
  </si>
  <si>
    <t xml:space="preserve">Valstybės biudžeto lėšos, skirtos  savivaldybėms patirtoms  užsieniečių, pasitraukusių iš Ukrainos dėl Rusijos Federacijos karinių veiksmų Ukrainoje, priėmimo išlaidoms kompensuoti </t>
  </si>
  <si>
    <t>Valstybės biudžeto lėšos, skirtos iš Lietuvos Respublikos aplinkos apsaugos ministerijos subsidijai iš Klimato kaitos programos priemonei „Atsinaujinančių energijos išteklių (saulės, vėjo) panaudojimas valstybės, savivaldybių, tradicinių religinių bendruomenių, religinių bendrijų ar centrų elektros energijos poreikiams“ finansuoti</t>
  </si>
  <si>
    <t>Valstybės biudžeto lėšos, skirtos iš Lietuvos Respublikos aplinkos apsaugos ministerijos projektui „Visagine esančių miškų sklypų suprojektavimas, suformavimas ir užregistravimas NTR registre“ finansuoti</t>
  </si>
  <si>
    <t>Valstybės biudžeto lėšos, skirtos iš Lietuvos Respublikos aplinkos apsaugos ministerijos projektui „Visagino mesto miškuose esančių pavojingų medžių šalinimas ir genėjimas, siekiant išsaugoti miškų biologinę įvairovę" finansuoti</t>
  </si>
  <si>
    <t>iš jų:</t>
  </si>
  <si>
    <t>iš valstybės lėšų</t>
  </si>
  <si>
    <t>iš valstybės vardų pasiskolintų lėšų</t>
  </si>
  <si>
    <t>1.3.2.</t>
  </si>
  <si>
    <t>Atsiskaitymas nuo pajamų pagal  Lietuvos Respublikos miškų įstatymą</t>
  </si>
  <si>
    <t>Valstybės biudžeto lėšos, skirtos iš Lietuvos Respublikos švietimo, mokslo ir sporto ministerijos pedagoginių darbuotojų, dirbančių pagal ikimokyklinio, priešmokyklinio ir neformaliojo vaikų švietimo programas savivaldybių mokyklose, padidintam darbo užmokesčiui nuo 2024 m. rugsėjo 1 d. apmokėti</t>
  </si>
  <si>
    <t>Valstybės biudžeto lėšos, skirtos iš Lietuvos Respublikos socialinės apsaugos ir darbo ministerijos, siekiant užtikrinti  Lietuvos Respublikos piniginės socialinės paramos nepasiturintiems gyventojams įstatymo įgyvendinimą</t>
  </si>
  <si>
    <t>Valstybės biudžeto lėšos, skirtos iš Lietuvos Respublikos švietimo, mokslo ir sporto ministerijos ugdymo, maitinimo ir pavėžėjimo lėšų socialinę riziką patiriančių vaikų ikimokykliniam ugdymui užtikrinti</t>
  </si>
  <si>
    <t>Valstybės biudžeto lėšos, skirtos iš Lietuvos Respublikos socialinės apsaugos ir darbo ministerijos išlaidoms, patirtoms teikiant specialiąsias socialines paslaugas užsienečiams,  pasitraukusiems iš Ukrainos dėl Rusijos Federacijos karinių veiksmų Ukrainoje, padengti</t>
  </si>
  <si>
    <t xml:space="preserve">2025 m. vasario   d. sprendimo Nr. TS- </t>
  </si>
  <si>
    <t>2024 m. gauta iš viso</t>
  </si>
  <si>
    <t>2024 m.grąžinta</t>
  </si>
  <si>
    <t>2025 m. planas iš viso</t>
  </si>
  <si>
    <t>2026 m. planas iš viso</t>
  </si>
  <si>
    <t>2027 m. planas iš viso</t>
  </si>
  <si>
    <t>+5,0 proc. mok.+8,71 proc. vadovams, ŠPT, ikimokyk. Ir priešmok.</t>
  </si>
  <si>
    <t>ES lėšos</t>
  </si>
  <si>
    <t>Pastatų ir statinių realizavimo pajamos (butai)</t>
  </si>
  <si>
    <t>Aplinkos apsaugos rėmimo specialiosios programos lėšos</t>
  </si>
  <si>
    <t>Savivaldybės savarankiškos lėšos</t>
  </si>
  <si>
    <t>įstaigos veikla</t>
  </si>
  <si>
    <t>kita veikla</t>
  </si>
  <si>
    <t>projektai</t>
  </si>
  <si>
    <t>Palūkanos</t>
  </si>
  <si>
    <t>finansinis turtas</t>
  </si>
  <si>
    <t>2024 m. patikslintas planas iš viso</t>
  </si>
  <si>
    <t>2024 m. patvirtintas planas iš viso</t>
  </si>
  <si>
    <t>2025 m. palyg. su 2024 m. patikslintu planu</t>
  </si>
  <si>
    <t>2025 m. palyg. su 2024 m. (proc.)</t>
  </si>
  <si>
    <t>VISAGINO SAVIVALDYBĖS 2025 - 2027 METŲ BIUDŽETO PAJAMOS</t>
  </si>
  <si>
    <t>SAVIVALDYBĖS BIUDŽETO LĖŠŲ LIKUČIAI IR SKOLINTOS LĖŠOS</t>
  </si>
  <si>
    <t>tūkst. eurų</t>
  </si>
  <si>
    <t>Lėšų pavadinimas</t>
  </si>
  <si>
    <t>2025 m.</t>
  </si>
  <si>
    <t xml:space="preserve">2026 m. </t>
  </si>
  <si>
    <t>2027 m.</t>
  </si>
  <si>
    <t>Lėšų likučiai:</t>
  </si>
  <si>
    <t xml:space="preserve">Savivaldybės biudžeto lėšų likutis, iš jų: </t>
  </si>
  <si>
    <t>Nepanaudoti asignavimai</t>
  </si>
  <si>
    <t>Viršplaninės pajamos</t>
  </si>
  <si>
    <t xml:space="preserve">Aplinkos apsaugos rėmimo specialiosios programos lėšų likutis </t>
  </si>
  <si>
    <t>Vietinės rinkliavos už komunalinių atliekų surinkimą iš atliekų turėtojų ir atliekų tvarkymą likutis</t>
  </si>
  <si>
    <t>Skolintos lėšos:</t>
  </si>
  <si>
    <t>Skolintos lėšos (SL)</t>
  </si>
  <si>
    <t>Skolintos lėšos prisidėjimui prie ES projektų (SL(ES))</t>
  </si>
  <si>
    <t>Biudžetinių įstaigų pajamų likutis</t>
  </si>
  <si>
    <t>Pastatų ir statinių realizavimo pajamų (butai) likutis</t>
  </si>
  <si>
    <t>Žemės realizavimo pajamų likutis</t>
  </si>
  <si>
    <t>ES lėšų likutis</t>
  </si>
  <si>
    <t>Valstybės biudžeto lėšos, skirtos iš Lietuvos Respublikos vidaus reikalų ministerijos projektui „Priedangų infrastruktūros plėtra Visagino savivaldybėje“ finansuoti</t>
  </si>
  <si>
    <t>02.01.03.05 (PP)</t>
  </si>
  <si>
    <t xml:space="preserve">Projektas „Visos dienos užimtumo erdvių sukūrimas Visagino bendrojo ugdymo mokyklose“
</t>
  </si>
  <si>
    <t>06.02.01.02. (PP)</t>
  </si>
  <si>
    <t>06.02.01.13. (PP)</t>
  </si>
  <si>
    <t>06.02.01.09. (PP)</t>
  </si>
  <si>
    <t xml:space="preserve">Projektas „Nestacionarių socialinių paslaugų, didinančių senyvo amžiaus asmenų gerovę, plėtra Visagino savivaldybėje" 
</t>
  </si>
  <si>
    <t>06.02.01.14. (PP)</t>
  </si>
  <si>
    <t>06.02.01.15. (PP)</t>
  </si>
  <si>
    <t xml:space="preserve">Projektas „Perėjimas nuo institucinės globos prie bendruomeninių paslaugų Sostinės regione, Vidurio ir vakarų Lietuvos regione" </t>
  </si>
  <si>
    <t>08.01.01.07. (PP)</t>
  </si>
  <si>
    <t>09.01.01.01.(PP)-01</t>
  </si>
  <si>
    <t>Projektas „Bendradarbystės centro VIZA-CITY sukūrimas Visagine: socialinio verslumo ir kūrybinių industrijų centras su bendradarbystės erdvėmis“</t>
  </si>
  <si>
    <t>09.01.01.02.(PP)-01</t>
  </si>
  <si>
    <t>Projektas „Visagino savivaldybės teritorijos (-ų) pritaikymas pramonės, komercijos, paslaugų verslo  investicijoms“</t>
  </si>
  <si>
    <t>09.03.01.01.</t>
  </si>
  <si>
    <t>09.03.01.03.(PP)-01</t>
  </si>
  <si>
    <t>09.03.01.04. (PP)-01</t>
  </si>
  <si>
    <t>10.01.02.01. (PP)-01</t>
  </si>
  <si>
    <t>10.01.02.01. (PP)-02</t>
  </si>
  <si>
    <t>10.01.02.01. (PP)-03</t>
  </si>
  <si>
    <t xml:space="preserve">Bendrabučio tipo pastato, esančio Kosmoso g. 28 Visagine, patalpų pritaikymas socialinio būsto įrengimui-II etapas </t>
  </si>
  <si>
    <t>06.01.03.12. (PP)</t>
  </si>
  <si>
    <t>06.02.01.08</t>
  </si>
  <si>
    <t>Atsiskaitymai nuo pajamų pagal Lietuvos Respublikos miškų įstatymą</t>
  </si>
  <si>
    <t>1.2 priedas</t>
  </si>
  <si>
    <t>Vietinė rinkliava už komunalinių atliekų surinkimą iš atliekų turėtojų ir atliekų tvarkymą</t>
  </si>
  <si>
    <t>Planuojama finansuoti iš skolintų lėšų</t>
  </si>
  <si>
    <t>Iš viso:</t>
  </si>
  <si>
    <t>06.02.01.12. (PP</t>
  </si>
  <si>
    <t>Projektas „Paslaugų, skatinančių ir efektyviai palaikančių globą šeimos aplinkoje, vystymas“</t>
  </si>
  <si>
    <t>Projektas  „Stiprinti ikimokyklinio ugdymo įstaigų tinklą, kuriant naujas ugdymo veiklas“</t>
  </si>
  <si>
    <t>02.01.03.03 (PP)</t>
  </si>
  <si>
    <t>03.01.02.06</t>
  </si>
  <si>
    <t>iš jų kompensacijų nepriklausomybės gynėjams, nukentėjusiems nuo 1991 m. sausio 11-13 d. ir po to vykdytos SSRS agresijos, bei jų šeimoms mokėjimui užtikrinti</t>
  </si>
  <si>
    <t>iš valstybės vardu pasiskolintų lėšų ukrainiečių ugdymui kompensuoti</t>
  </si>
  <si>
    <t>Valstybės biudžeto lėšos, skirtos iš Lietuvos Respublikos socialinės apsaugos ir darbo ministerijos vienkartinėms išmokoms įsikurti gyvenamojoje vietoje savivaldybės teritorijoje ir (ar) mėnesinėms kompensacijoms vaiko ugdymo pagal ikimokyklinio ar priešmokyklinio ugdymo programą išlaidoms finansuoti</t>
  </si>
  <si>
    <t>Projektas „Vaikų raidos ir elgesio sutrikimų kompleksinės pagalbos ir paslaugų šeimai centro įkūrimas"</t>
  </si>
  <si>
    <t>Projektas „Visagino gamtos objektų pritaikymas lankymui"</t>
  </si>
  <si>
    <t>Projektas „Visagino kultūros objektų pritaikymas lankymui, įrengiant būtiną viešąją infrastruktūrą"</t>
  </si>
  <si>
    <t>Projektas „Darnaus ir saugaus judumo vystymas Visagine"</t>
  </si>
  <si>
    <t>Projektas „Dviračių ir pėsčiųjų takų infrastruktūros plėtra Visagine, I etapas"</t>
  </si>
  <si>
    <t>Projektas „Dviračių ir pėsčiųjų takų infrastruktūros plėtra Visagine, II etapas"</t>
  </si>
  <si>
    <t>Projekto „Pasikrauk energijos Visagine“ įgyvendinimas</t>
  </si>
  <si>
    <t>Projekto „Apleisto (nenaudojamo) buvusio visuomeninio pastato konversija ir pritaikymas Savarankiško gyvenimo namų Visagine įkūrimui“ įgyvendinimas</t>
  </si>
  <si>
    <t xml:space="preserve">Projektas „Specialiųjų poreikių turinčių asmenų gerovės kūrimas ir įtrauktis į socialinę ir ekonominę Visagino savivaldybės raidą“
</t>
  </si>
  <si>
    <t xml:space="preserve">Projektas „Visagino socialinių paslaugų centro infrastruktūros, skirtos senyvo amžiaus asmenims, modernizavimas“
</t>
  </si>
  <si>
    <t xml:space="preserve">Projektas „Komunalinių atliekų rūšiuojamojo atliekų surinkimo pajėgumų plėtra Visagino savivaldybėje“ </t>
  </si>
  <si>
    <t>Projektas „Atominės energetikos aktualizavimas ir pritaikymas edukacijai bei turizmui (patalpų Balto g. 1, Visagine pertvarkymo koncepcijos, investicinės ir techninės dokumentacijos parengimas)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</si>
</sst>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0.00000"/>
    <numFmt numFmtId="166" formatCode="#,##0.00000\ _€"/>
  </numFmts>
  <fonts count="44" x14ac:knownFonts="1">
    <font>
      <sz val="11"/>
      <color theme="1"/>
      <name val="Calibri"/>
      <family val="2"/>
      <charset val="186"/>
      <scheme val="minor"/>
    </font>
    <font>
      <sz val="10"/>
      <name val="Arial"/>
      <family val="2"/>
      <charset val="186"/>
    </font>
    <font>
      <sz val="9"/>
      <name val="Times New Roman"/>
      <family val="1"/>
    </font>
    <font>
      <sz val="10"/>
      <name val="Arial"/>
      <family val="2"/>
      <charset val="186"/>
    </font>
    <font>
      <sz val="11"/>
      <color theme="0"/>
      <name val="Calibri"/>
      <family val="2"/>
      <charset val="186"/>
      <scheme val="minor"/>
    </font>
    <font>
      <b/>
      <sz val="11"/>
      <color theme="1"/>
      <name val="Calibri"/>
      <family val="2"/>
      <charset val="186"/>
      <scheme val="minor"/>
    </font>
    <font>
      <b/>
      <sz val="12"/>
      <color theme="1"/>
      <name val="Times New Roman"/>
      <family val="1"/>
      <charset val="186"/>
    </font>
    <font>
      <sz val="12"/>
      <color theme="1"/>
      <name val="Times New Roman"/>
      <family val="1"/>
      <charset val="186"/>
    </font>
    <font>
      <b/>
      <i/>
      <sz val="12"/>
      <color theme="1"/>
      <name val="Times New Roman"/>
      <family val="1"/>
      <charset val="186"/>
    </font>
    <font>
      <b/>
      <sz val="14"/>
      <color theme="1"/>
      <name val="Times New Roman"/>
      <family val="1"/>
      <charset val="186"/>
    </font>
    <font>
      <b/>
      <sz val="16"/>
      <color theme="1"/>
      <name val="Times New Roman"/>
      <family val="1"/>
      <charset val="186"/>
    </font>
    <font>
      <b/>
      <sz val="11"/>
      <color theme="1"/>
      <name val="Times New Roman"/>
      <family val="1"/>
      <charset val="186"/>
    </font>
    <font>
      <sz val="12"/>
      <color theme="1"/>
      <name val="Calibri"/>
      <family val="2"/>
      <charset val="186"/>
      <scheme val="minor"/>
    </font>
    <font>
      <sz val="14"/>
      <color theme="1"/>
      <name val="Calibri"/>
      <family val="2"/>
      <charset val="186"/>
      <scheme val="minor"/>
    </font>
    <font>
      <b/>
      <i/>
      <sz val="11"/>
      <color theme="1"/>
      <name val="Calibri"/>
      <family val="2"/>
      <charset val="186"/>
      <scheme val="minor"/>
    </font>
    <font>
      <i/>
      <sz val="10"/>
      <color theme="1"/>
      <name val="Times New Roman"/>
      <family val="1"/>
      <charset val="186"/>
    </font>
    <font>
      <i/>
      <sz val="12"/>
      <color theme="1"/>
      <name val="Times New Roman"/>
      <family val="1"/>
      <charset val="186"/>
    </font>
    <font>
      <sz val="12"/>
      <name val="Times New Roman"/>
      <family val="1"/>
      <charset val="186"/>
    </font>
    <font>
      <i/>
      <sz val="10"/>
      <name val="Times New Roman"/>
      <family val="1"/>
      <charset val="186"/>
    </font>
    <font>
      <b/>
      <sz val="12"/>
      <name val="Times New Roman"/>
      <family val="1"/>
      <charset val="186"/>
    </font>
    <font>
      <i/>
      <sz val="12"/>
      <name val="Times New Roman"/>
      <family val="1"/>
      <charset val="186"/>
    </font>
    <font>
      <b/>
      <sz val="14"/>
      <name val="Times New Roman"/>
      <family val="1"/>
      <charset val="186"/>
    </font>
    <font>
      <i/>
      <sz val="11"/>
      <color theme="1"/>
      <name val="Calibri"/>
      <family val="2"/>
      <charset val="186"/>
      <scheme val="minor"/>
    </font>
    <font>
      <sz val="11"/>
      <color theme="1"/>
      <name val="Times New Roman"/>
      <family val="1"/>
      <charset val="186"/>
    </font>
    <font>
      <sz val="9"/>
      <name val="Times New Roman"/>
      <family val="1"/>
      <charset val="186"/>
    </font>
    <font>
      <sz val="11"/>
      <name val="Calibri"/>
      <family val="2"/>
      <charset val="186"/>
      <scheme val="minor"/>
    </font>
    <font>
      <sz val="12"/>
      <color rgb="FFFF0000"/>
      <name val="Times New Roman"/>
      <family val="1"/>
      <charset val="186"/>
    </font>
    <font>
      <i/>
      <sz val="12"/>
      <color rgb="FFFF0000"/>
      <name val="Times New Roman"/>
      <family val="1"/>
      <charset val="186"/>
    </font>
    <font>
      <sz val="11"/>
      <name val="Times New Roman"/>
      <family val="1"/>
      <charset val="186"/>
    </font>
    <font>
      <sz val="12"/>
      <name val="Calibri"/>
      <family val="2"/>
      <charset val="186"/>
      <scheme val="minor"/>
    </font>
    <font>
      <b/>
      <i/>
      <sz val="12"/>
      <name val="Times New Roman"/>
      <family val="1"/>
      <charset val="186"/>
    </font>
    <font>
      <b/>
      <sz val="16"/>
      <name val="Times New Roman"/>
      <family val="1"/>
      <charset val="186"/>
    </font>
    <font>
      <sz val="10"/>
      <name val="Times New Roman"/>
      <family val="1"/>
      <charset val="186"/>
    </font>
    <font>
      <sz val="8"/>
      <name val="Times New Roman"/>
      <family val="1"/>
      <charset val="186"/>
    </font>
    <font>
      <sz val="14"/>
      <name val="Times New Roman"/>
      <family val="1"/>
      <charset val="186"/>
    </font>
    <font>
      <b/>
      <sz val="11"/>
      <color rgb="FFFF0000"/>
      <name val="Calibri"/>
      <family val="2"/>
      <charset val="186"/>
      <scheme val="minor"/>
    </font>
    <font>
      <b/>
      <sz val="11"/>
      <name val="Times New Roman"/>
      <family val="1"/>
      <charset val="186"/>
    </font>
    <font>
      <b/>
      <sz val="10"/>
      <name val="Times New Roman"/>
      <family val="1"/>
      <charset val="186"/>
    </font>
    <font>
      <i/>
      <sz val="10"/>
      <color rgb="FFFF0000"/>
      <name val="Times New Roman"/>
      <family val="1"/>
      <charset val="186"/>
    </font>
    <font>
      <sz val="12"/>
      <color rgb="FF444444"/>
      <name val="Times New Roman"/>
      <family val="1"/>
      <charset val="186"/>
    </font>
    <font>
      <sz val="11"/>
      <color indexed="8"/>
      <name val="Times New Roman"/>
      <family val="1"/>
    </font>
    <font>
      <sz val="11"/>
      <name val="Times New Roman"/>
      <family val="1"/>
    </font>
    <font>
      <sz val="10"/>
      <color indexed="8"/>
      <name val="Times New Roman"/>
      <family val="1"/>
    </font>
    <font>
      <sz val="10"/>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0">
    <border>
      <left/>
      <right/>
      <top/>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right style="medium">
        <color indexed="64"/>
      </right>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right/>
      <top/>
      <bottom style="thin">
        <color indexed="64"/>
      </bottom>
      <diagonal/>
    </border>
    <border>
      <left/>
      <right/>
      <top style="thin">
        <color indexed="64"/>
      </top>
      <bottom/>
      <diagonal/>
    </border>
    <border>
      <left/>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diagonal/>
    </border>
    <border>
      <left style="medium">
        <color indexed="64"/>
      </left>
      <right/>
      <top/>
      <bottom style="hair">
        <color indexed="64"/>
      </bottom>
      <diagonal/>
    </border>
    <border>
      <left style="thin">
        <color indexed="64"/>
      </left>
      <right/>
      <top style="medium">
        <color indexed="64"/>
      </top>
      <bottom style="thin">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style="medium">
        <color indexed="64"/>
      </left>
      <right/>
      <top style="medium">
        <color indexed="64"/>
      </top>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thin">
        <color indexed="64"/>
      </left>
      <right/>
      <top style="thin">
        <color indexed="64"/>
      </top>
      <bottom/>
      <diagonal/>
    </border>
  </borders>
  <cellStyleXfs count="4">
    <xf numFmtId="0" fontId="0" fillId="0" borderId="0"/>
    <xf numFmtId="0" fontId="1" fillId="0" borderId="0">
      <protection locked="0"/>
    </xf>
    <xf numFmtId="0" fontId="3" fillId="0" borderId="0">
      <protection locked="0"/>
    </xf>
    <xf numFmtId="0" fontId="1" fillId="0" borderId="0">
      <protection locked="0"/>
    </xf>
  </cellStyleXfs>
  <cellXfs count="503">
    <xf numFmtId="0" fontId="0" fillId="0" borderId="0" xfId="0"/>
    <xf numFmtId="0" fontId="6" fillId="0" borderId="1" xfId="0" applyFont="1" applyBorder="1" applyAlignment="1">
      <alignment vertical="center" wrapText="1"/>
    </xf>
    <xf numFmtId="0" fontId="7" fillId="0" borderId="2" xfId="0" applyFont="1" applyBorder="1" applyAlignment="1">
      <alignment vertical="center" wrapText="1"/>
    </xf>
    <xf numFmtId="0" fontId="7" fillId="0" borderId="3" xfId="0" applyFont="1" applyBorder="1" applyAlignment="1">
      <alignment vertical="center" wrapText="1"/>
    </xf>
    <xf numFmtId="0" fontId="7" fillId="0" borderId="4" xfId="0" applyFont="1" applyBorder="1" applyAlignment="1">
      <alignment vertical="center" wrapText="1"/>
    </xf>
    <xf numFmtId="0" fontId="7" fillId="0" borderId="5" xfId="0" applyFont="1" applyBorder="1" applyAlignment="1">
      <alignment vertical="center" wrapText="1"/>
    </xf>
    <xf numFmtId="0" fontId="0" fillId="0" borderId="0" xfId="0" applyAlignment="1">
      <alignment horizontal="left" vertical="center"/>
    </xf>
    <xf numFmtId="0" fontId="7" fillId="0" borderId="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7" fillId="0" borderId="7" xfId="0" applyFont="1" applyBorder="1" applyAlignment="1">
      <alignment vertical="center" wrapText="1"/>
    </xf>
    <xf numFmtId="0" fontId="6" fillId="0" borderId="10" xfId="0" applyFont="1" applyBorder="1" applyAlignment="1">
      <alignment horizontal="left" vertical="center" wrapText="1"/>
    </xf>
    <xf numFmtId="0" fontId="7" fillId="0" borderId="10" xfId="0" applyFont="1" applyBorder="1" applyAlignment="1">
      <alignment horizontal="left" vertical="center" wrapText="1"/>
    </xf>
    <xf numFmtId="164" fontId="2" fillId="0" borderId="0" xfId="1" applyNumberFormat="1" applyFont="1">
      <protection locked="0"/>
    </xf>
    <xf numFmtId="0" fontId="7" fillId="0" borderId="11" xfId="0" applyFont="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vertical="center" wrapText="1"/>
    </xf>
    <xf numFmtId="0" fontId="6" fillId="0" borderId="2" xfId="0" applyFont="1" applyBorder="1" applyAlignment="1">
      <alignment horizontal="left" vertical="center" wrapText="1"/>
    </xf>
    <xf numFmtId="0" fontId="6" fillId="0" borderId="2" xfId="0" applyFont="1" applyBorder="1" applyAlignment="1">
      <alignmen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7" xfId="0" applyFont="1" applyBorder="1" applyAlignment="1">
      <alignment vertical="center" wrapText="1"/>
    </xf>
    <xf numFmtId="0" fontId="8" fillId="0" borderId="9" xfId="0" applyFont="1" applyBorder="1" applyAlignment="1">
      <alignment horizontal="left" vertical="center" wrapText="1"/>
    </xf>
    <xf numFmtId="0" fontId="9" fillId="0" borderId="10" xfId="0" applyFont="1" applyBorder="1" applyAlignment="1">
      <alignment vertical="center" wrapText="1"/>
    </xf>
    <xf numFmtId="0" fontId="10" fillId="0" borderId="10" xfId="0" applyFont="1" applyBorder="1" applyAlignment="1">
      <alignment vertical="center" wrapText="1"/>
    </xf>
    <xf numFmtId="0" fontId="11" fillId="0" borderId="6" xfId="0" applyFont="1" applyBorder="1" applyAlignment="1">
      <alignment horizontal="left" vertical="center" wrapText="1"/>
    </xf>
    <xf numFmtId="0" fontId="11" fillId="0" borderId="1" xfId="0" applyFont="1" applyBorder="1" applyAlignment="1">
      <alignment vertical="center" wrapText="1"/>
    </xf>
    <xf numFmtId="0" fontId="12" fillId="0" borderId="0" xfId="0" applyFont="1"/>
    <xf numFmtId="0" fontId="9" fillId="0" borderId="6" xfId="0" applyFont="1" applyBorder="1" applyAlignment="1">
      <alignment horizontal="left" vertical="center" wrapText="1"/>
    </xf>
    <xf numFmtId="0" fontId="9" fillId="0" borderId="1" xfId="0" applyFont="1" applyBorder="1" applyAlignment="1">
      <alignment vertical="center" wrapText="1"/>
    </xf>
    <xf numFmtId="0" fontId="13" fillId="0" borderId="0" xfId="0" applyFont="1"/>
    <xf numFmtId="0" fontId="9" fillId="0" borderId="10" xfId="0" applyFont="1" applyBorder="1" applyAlignment="1">
      <alignment horizontal="left" vertical="center" wrapText="1"/>
    </xf>
    <xf numFmtId="0" fontId="14" fillId="0" borderId="0" xfId="0" applyFont="1"/>
    <xf numFmtId="0" fontId="6" fillId="0" borderId="15" xfId="0" applyFont="1" applyBorder="1" applyAlignment="1">
      <alignment vertical="center" wrapText="1"/>
    </xf>
    <xf numFmtId="0" fontId="0" fillId="0" borderId="16" xfId="0" applyBorder="1"/>
    <xf numFmtId="0" fontId="7" fillId="0" borderId="4" xfId="0" applyFont="1" applyBorder="1" applyAlignment="1">
      <alignment horizontal="justify" vertical="center" wrapText="1"/>
    </xf>
    <xf numFmtId="0" fontId="7" fillId="0" borderId="13" xfId="0" applyFont="1" applyBorder="1" applyAlignment="1">
      <alignment vertical="center" wrapText="1"/>
    </xf>
    <xf numFmtId="0" fontId="6" fillId="0" borderId="9" xfId="0" applyFont="1" applyBorder="1" applyAlignment="1">
      <alignment horizontal="left" vertical="center" wrapText="1"/>
    </xf>
    <xf numFmtId="164" fontId="6" fillId="0" borderId="15" xfId="0"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164" fontId="11" fillId="0" borderId="1" xfId="0" applyNumberFormat="1" applyFont="1" applyBorder="1" applyAlignment="1">
      <alignment horizontal="center" vertical="center" wrapText="1"/>
    </xf>
    <xf numFmtId="164" fontId="7" fillId="0" borderId="2" xfId="0" applyNumberFormat="1" applyFont="1" applyBorder="1" applyAlignment="1">
      <alignment horizontal="center" vertical="center" wrapText="1"/>
    </xf>
    <xf numFmtId="164" fontId="6" fillId="0" borderId="1" xfId="0" applyNumberFormat="1" applyFont="1" applyBorder="1" applyAlignment="1">
      <alignment horizontal="center" vertical="center" wrapText="1"/>
    </xf>
    <xf numFmtId="164" fontId="7" fillId="0" borderId="3" xfId="0" applyNumberFormat="1" applyFont="1" applyBorder="1" applyAlignment="1">
      <alignment horizontal="center" vertical="center" wrapText="1"/>
    </xf>
    <xf numFmtId="164" fontId="7" fillId="0" borderId="5" xfId="0" applyNumberFormat="1" applyFont="1" applyBorder="1" applyAlignment="1">
      <alignment horizontal="center" vertical="center" wrapText="1"/>
    </xf>
    <xf numFmtId="164" fontId="7" fillId="0" borderId="12" xfId="0" applyNumberFormat="1" applyFont="1" applyBorder="1" applyAlignment="1">
      <alignment horizontal="center" vertical="center" wrapText="1"/>
    </xf>
    <xf numFmtId="164" fontId="9" fillId="0" borderId="15" xfId="0" applyNumberFormat="1" applyFont="1" applyBorder="1" applyAlignment="1">
      <alignment horizontal="center" vertical="center" wrapText="1"/>
    </xf>
    <xf numFmtId="164" fontId="6" fillId="0" borderId="3" xfId="0" applyNumberFormat="1" applyFont="1" applyBorder="1" applyAlignment="1">
      <alignment horizontal="center" vertical="center" wrapText="1"/>
    </xf>
    <xf numFmtId="164" fontId="8" fillId="0" borderId="4" xfId="0" applyNumberFormat="1" applyFont="1" applyBorder="1" applyAlignment="1">
      <alignment horizontal="center" vertical="center" wrapText="1"/>
    </xf>
    <xf numFmtId="164" fontId="7" fillId="0" borderId="14" xfId="0" applyNumberFormat="1" applyFont="1" applyBorder="1" applyAlignment="1">
      <alignment horizontal="center" vertical="center" wrapText="1"/>
    </xf>
    <xf numFmtId="164" fontId="8" fillId="0" borderId="1" xfId="0" applyNumberFormat="1" applyFont="1" applyBorder="1" applyAlignment="1">
      <alignment horizontal="center" vertical="center" wrapText="1"/>
    </xf>
    <xf numFmtId="164" fontId="6" fillId="0" borderId="10" xfId="0" applyNumberFormat="1" applyFont="1" applyBorder="1" applyAlignment="1">
      <alignment horizontal="center" vertical="center" wrapText="1"/>
    </xf>
    <xf numFmtId="0" fontId="5" fillId="0" borderId="0" xfId="0" applyFont="1"/>
    <xf numFmtId="0" fontId="8" fillId="2" borderId="10" xfId="0" applyFont="1" applyFill="1" applyBorder="1" applyAlignment="1">
      <alignment horizontal="left" vertical="center" wrapText="1"/>
    </xf>
    <xf numFmtId="0" fontId="8" fillId="2" borderId="10" xfId="0" applyFont="1" applyFill="1" applyBorder="1" applyAlignment="1">
      <alignment vertical="center" wrapText="1"/>
    </xf>
    <xf numFmtId="0" fontId="6" fillId="0" borderId="17" xfId="0" applyFont="1" applyBorder="1" applyAlignment="1">
      <alignment horizontal="left" vertical="center" wrapText="1"/>
    </xf>
    <xf numFmtId="0" fontId="6" fillId="0" borderId="6" xfId="0" applyFont="1" applyBorder="1" applyAlignment="1">
      <alignment horizontal="left" vertical="center" wrapText="1"/>
    </xf>
    <xf numFmtId="0" fontId="6" fillId="0" borderId="17" xfId="0" applyFont="1" applyBorder="1" applyAlignment="1">
      <alignment vertical="center" wrapText="1"/>
    </xf>
    <xf numFmtId="0" fontId="8" fillId="0" borderId="17" xfId="0" applyFont="1" applyBorder="1" applyAlignment="1">
      <alignment horizontal="left" vertical="center" wrapText="1"/>
    </xf>
    <xf numFmtId="0" fontId="15" fillId="2" borderId="7" xfId="0" applyFont="1" applyFill="1" applyBorder="1" applyAlignment="1">
      <alignment vertical="center" wrapText="1"/>
    </xf>
    <xf numFmtId="164" fontId="16" fillId="0" borderId="2" xfId="0" applyNumberFormat="1" applyFont="1" applyBorder="1" applyAlignment="1">
      <alignment horizontal="center" vertical="center" wrapText="1"/>
    </xf>
    <xf numFmtId="0" fontId="8" fillId="0" borderId="6" xfId="0" applyFont="1" applyBorder="1" applyAlignment="1">
      <alignment vertical="center" wrapText="1"/>
    </xf>
    <xf numFmtId="164" fontId="16" fillId="0" borderId="1" xfId="0" applyNumberFormat="1" applyFont="1" applyBorder="1" applyAlignment="1">
      <alignment horizontal="center" vertical="center" wrapText="1"/>
    </xf>
    <xf numFmtId="164" fontId="16" fillId="0" borderId="18" xfId="0" applyNumberFormat="1" applyFont="1" applyBorder="1" applyAlignment="1">
      <alignment horizontal="center" vertical="center" wrapText="1"/>
    </xf>
    <xf numFmtId="0" fontId="15" fillId="2" borderId="7" xfId="0" applyFont="1" applyFill="1" applyBorder="1" applyAlignment="1">
      <alignment horizontal="justify" vertical="center" wrapText="1"/>
    </xf>
    <xf numFmtId="0" fontId="8" fillId="0" borderId="10" xfId="0" applyFont="1" applyBorder="1" applyAlignment="1">
      <alignment horizontal="left" vertical="center" wrapText="1"/>
    </xf>
    <xf numFmtId="0" fontId="8" fillId="2" borderId="15" xfId="0" applyFont="1" applyFill="1" applyBorder="1" applyAlignment="1">
      <alignment horizontal="justify" vertical="center" wrapText="1"/>
    </xf>
    <xf numFmtId="0" fontId="9" fillId="0" borderId="18" xfId="0" applyFont="1" applyBorder="1" applyAlignment="1">
      <alignment vertical="center" wrapText="1"/>
    </xf>
    <xf numFmtId="164" fontId="4" fillId="0" borderId="0" xfId="0" applyNumberFormat="1" applyFont="1"/>
    <xf numFmtId="164" fontId="7" fillId="0" borderId="4" xfId="0" applyNumberFormat="1" applyFont="1" applyBorder="1" applyAlignment="1">
      <alignment horizontal="center" vertical="center" wrapText="1"/>
    </xf>
    <xf numFmtId="164" fontId="8" fillId="0" borderId="10" xfId="0" applyNumberFormat="1" applyFont="1" applyBorder="1" applyAlignment="1">
      <alignment horizontal="center" vertical="center" wrapText="1"/>
    </xf>
    <xf numFmtId="0" fontId="7" fillId="0" borderId="18" xfId="0" applyFont="1" applyBorder="1" applyAlignment="1">
      <alignment vertical="center" wrapText="1"/>
    </xf>
    <xf numFmtId="164" fontId="7" fillId="0" borderId="18" xfId="0" applyNumberFormat="1" applyFont="1" applyBorder="1" applyAlignment="1">
      <alignment horizontal="center" vertical="center" wrapText="1"/>
    </xf>
    <xf numFmtId="164" fontId="7" fillId="2" borderId="3" xfId="0" applyNumberFormat="1" applyFont="1" applyFill="1" applyBorder="1" applyAlignment="1">
      <alignment horizontal="center" vertical="center" wrapText="1"/>
    </xf>
    <xf numFmtId="164" fontId="7" fillId="2" borderId="4" xfId="0" applyNumberFormat="1" applyFont="1" applyFill="1" applyBorder="1" applyAlignment="1">
      <alignment horizontal="center" vertical="center" wrapText="1"/>
    </xf>
    <xf numFmtId="0" fontId="8" fillId="0" borderId="10" xfId="0" applyFont="1" applyBorder="1" applyAlignment="1">
      <alignment vertical="center" wrapText="1"/>
    </xf>
    <xf numFmtId="0" fontId="7" fillId="0" borderId="10" xfId="0" applyFont="1" applyBorder="1" applyAlignment="1">
      <alignment vertical="center" wrapText="1"/>
    </xf>
    <xf numFmtId="0" fontId="16" fillId="2" borderId="1" xfId="0" applyFont="1" applyFill="1" applyBorder="1" applyAlignment="1">
      <alignment horizontal="justify" vertical="center" wrapText="1"/>
    </xf>
    <xf numFmtId="0" fontId="7" fillId="0" borderId="1" xfId="0" applyFont="1" applyBorder="1" applyAlignment="1">
      <alignment vertical="center" wrapText="1"/>
    </xf>
    <xf numFmtId="0" fontId="7" fillId="0" borderId="11" xfId="0" applyFont="1" applyBorder="1" applyAlignment="1">
      <alignment vertical="center" wrapText="1"/>
    </xf>
    <xf numFmtId="0" fontId="8" fillId="2" borderId="9" xfId="0" applyFont="1" applyFill="1" applyBorder="1" applyAlignment="1">
      <alignment horizontal="left" vertical="center" wrapText="1"/>
    </xf>
    <xf numFmtId="0" fontId="8" fillId="2" borderId="18" xfId="0" applyFont="1" applyFill="1" applyBorder="1" applyAlignment="1">
      <alignment horizontal="justify" vertical="center" wrapText="1"/>
    </xf>
    <xf numFmtId="0" fontId="8" fillId="0" borderId="2" xfId="0" applyFont="1" applyBorder="1" applyAlignment="1">
      <alignment horizontal="left" vertical="center" wrapText="1"/>
    </xf>
    <xf numFmtId="0" fontId="8" fillId="0" borderId="2" xfId="0" applyFont="1" applyBorder="1" applyAlignment="1">
      <alignment vertical="center" wrapText="1"/>
    </xf>
    <xf numFmtId="164" fontId="8" fillId="0" borderId="2" xfId="0" applyNumberFormat="1" applyFont="1" applyBorder="1" applyAlignment="1">
      <alignment horizontal="center" vertical="center" wrapText="1"/>
    </xf>
    <xf numFmtId="164" fontId="7" fillId="0" borderId="7" xfId="0" applyNumberFormat="1" applyFont="1" applyBorder="1" applyAlignment="1">
      <alignment horizontal="center" vertical="center" wrapText="1"/>
    </xf>
    <xf numFmtId="0" fontId="8" fillId="2" borderId="2" xfId="0" applyFont="1" applyFill="1" applyBorder="1" applyAlignment="1">
      <alignment horizontal="left" vertical="center" wrapText="1"/>
    </xf>
    <xf numFmtId="0" fontId="8" fillId="0" borderId="3" xfId="0" applyFont="1" applyBorder="1" applyAlignment="1">
      <alignment vertical="center" wrapText="1"/>
    </xf>
    <xf numFmtId="164" fontId="2" fillId="0" borderId="0" xfId="0" applyNumberFormat="1" applyFont="1" applyProtection="1">
      <protection locked="0"/>
    </xf>
    <xf numFmtId="164" fontId="8" fillId="0" borderId="15" xfId="0" applyNumberFormat="1" applyFont="1" applyBorder="1" applyAlignment="1">
      <alignment horizontal="center" vertical="center" wrapText="1"/>
    </xf>
    <xf numFmtId="0" fontId="7" fillId="0" borderId="8" xfId="0" applyFont="1" applyBorder="1" applyAlignment="1">
      <alignment vertical="center" wrapText="1"/>
    </xf>
    <xf numFmtId="164" fontId="7" fillId="0" borderId="19" xfId="0" applyNumberFormat="1" applyFont="1" applyBorder="1" applyAlignment="1">
      <alignment horizontal="center" vertical="center" wrapText="1"/>
    </xf>
    <xf numFmtId="164" fontId="7" fillId="2" borderId="5" xfId="0" applyNumberFormat="1" applyFont="1" applyFill="1" applyBorder="1" applyAlignment="1">
      <alignment horizontal="center" vertical="center" wrapText="1"/>
    </xf>
    <xf numFmtId="164" fontId="16" fillId="2" borderId="1" xfId="0" applyNumberFormat="1" applyFont="1" applyFill="1" applyBorder="1" applyAlignment="1">
      <alignment horizontal="center" vertical="center" wrapText="1"/>
    </xf>
    <xf numFmtId="164" fontId="7" fillId="2" borderId="18" xfId="0" applyNumberFormat="1" applyFont="1" applyFill="1" applyBorder="1" applyAlignment="1">
      <alignment horizontal="center" vertical="center" wrapText="1"/>
    </xf>
    <xf numFmtId="0" fontId="0" fillId="0" borderId="0" xfId="0" applyAlignment="1">
      <alignment horizontal="right"/>
    </xf>
    <xf numFmtId="164" fontId="0" fillId="0" borderId="0" xfId="0" applyNumberFormat="1"/>
    <xf numFmtId="164" fontId="16" fillId="2" borderId="4" xfId="0" applyNumberFormat="1" applyFont="1" applyFill="1" applyBorder="1" applyAlignment="1">
      <alignment horizontal="center" vertical="center" wrapText="1"/>
    </xf>
    <xf numFmtId="164" fontId="15" fillId="0" borderId="4" xfId="0" applyNumberFormat="1" applyFont="1" applyBorder="1" applyAlignment="1">
      <alignment horizontal="center" vertical="center" wrapText="1"/>
    </xf>
    <xf numFmtId="164" fontId="15" fillId="0" borderId="3" xfId="0" applyNumberFormat="1" applyFont="1" applyBorder="1" applyAlignment="1">
      <alignment horizontal="center" vertical="center" wrapText="1"/>
    </xf>
    <xf numFmtId="164" fontId="17" fillId="0" borderId="4" xfId="0" applyNumberFormat="1" applyFont="1" applyBorder="1" applyAlignment="1">
      <alignment horizontal="center" vertical="center" wrapText="1"/>
    </xf>
    <xf numFmtId="164" fontId="8" fillId="2" borderId="10" xfId="0" applyNumberFormat="1" applyFont="1" applyFill="1" applyBorder="1" applyAlignment="1">
      <alignment horizontal="center" vertical="center" wrapText="1"/>
    </xf>
    <xf numFmtId="164" fontId="8" fillId="2" borderId="1" xfId="0" applyNumberFormat="1" applyFont="1" applyFill="1" applyBorder="1" applyAlignment="1">
      <alignment horizontal="center" vertical="center" wrapText="1"/>
    </xf>
    <xf numFmtId="164" fontId="16" fillId="2" borderId="12" xfId="0" applyNumberFormat="1" applyFont="1" applyFill="1" applyBorder="1" applyAlignment="1">
      <alignment horizontal="center" vertical="center" wrapText="1"/>
    </xf>
    <xf numFmtId="0" fontId="6" fillId="0" borderId="0" xfId="0" applyFont="1" applyAlignment="1">
      <alignment horizontal="center" vertical="center"/>
    </xf>
    <xf numFmtId="164" fontId="6" fillId="0" borderId="17" xfId="0" applyNumberFormat="1" applyFont="1" applyBorder="1" applyAlignment="1">
      <alignment horizontal="center" vertical="center" wrapText="1"/>
    </xf>
    <xf numFmtId="164" fontId="17" fillId="2" borderId="4" xfId="0" applyNumberFormat="1" applyFont="1" applyFill="1" applyBorder="1" applyAlignment="1">
      <alignment horizontal="center" vertical="center" wrapText="1"/>
    </xf>
    <xf numFmtId="164" fontId="16" fillId="2" borderId="5" xfId="0" applyNumberFormat="1" applyFont="1" applyFill="1" applyBorder="1" applyAlignment="1">
      <alignment horizontal="center" vertical="center" wrapText="1"/>
    </xf>
    <xf numFmtId="164" fontId="15" fillId="0" borderId="12" xfId="0" applyNumberFormat="1" applyFont="1" applyBorder="1" applyAlignment="1">
      <alignment horizontal="center" vertical="center" wrapText="1"/>
    </xf>
    <xf numFmtId="164" fontId="17" fillId="2" borderId="3" xfId="0" applyNumberFormat="1" applyFont="1" applyFill="1" applyBorder="1" applyAlignment="1">
      <alignment horizontal="center" vertical="center" wrapText="1"/>
    </xf>
    <xf numFmtId="164" fontId="17" fillId="0" borderId="14" xfId="0" applyNumberFormat="1" applyFont="1" applyBorder="1" applyAlignment="1">
      <alignment horizontal="center" vertical="center" wrapText="1"/>
    </xf>
    <xf numFmtId="164" fontId="20" fillId="0" borderId="2" xfId="0" applyNumberFormat="1" applyFont="1" applyBorder="1" applyAlignment="1">
      <alignment horizontal="center" vertical="center" wrapText="1"/>
    </xf>
    <xf numFmtId="164" fontId="20" fillId="0" borderId="18" xfId="0" applyNumberFormat="1" applyFont="1" applyBorder="1" applyAlignment="1">
      <alignment horizontal="center" vertical="center" wrapText="1"/>
    </xf>
    <xf numFmtId="164" fontId="20" fillId="2" borderId="4" xfId="0" applyNumberFormat="1" applyFont="1" applyFill="1" applyBorder="1" applyAlignment="1">
      <alignment horizontal="center" vertical="center" wrapText="1"/>
    </xf>
    <xf numFmtId="164" fontId="21" fillId="0" borderId="15" xfId="0" applyNumberFormat="1" applyFont="1" applyBorder="1" applyAlignment="1">
      <alignment horizontal="center" vertical="center" wrapText="1"/>
    </xf>
    <xf numFmtId="164" fontId="19" fillId="0" borderId="1" xfId="0" applyNumberFormat="1" applyFont="1" applyBorder="1" applyAlignment="1">
      <alignment horizontal="center" vertical="center" wrapText="1"/>
    </xf>
    <xf numFmtId="164" fontId="17" fillId="0" borderId="3" xfId="0" applyNumberFormat="1" applyFont="1" applyBorder="1" applyAlignment="1">
      <alignment horizontal="center" vertical="center" wrapText="1"/>
    </xf>
    <xf numFmtId="164" fontId="17" fillId="0" borderId="5" xfId="0" applyNumberFormat="1" applyFont="1" applyBorder="1" applyAlignment="1">
      <alignment horizontal="center" vertical="center" wrapText="1"/>
    </xf>
    <xf numFmtId="164" fontId="19" fillId="0" borderId="10" xfId="0" applyNumberFormat="1" applyFont="1" applyBorder="1" applyAlignment="1">
      <alignment horizontal="center" vertical="center" wrapText="1"/>
    </xf>
    <xf numFmtId="164" fontId="17" fillId="0" borderId="12" xfId="0" applyNumberFormat="1" applyFont="1" applyBorder="1" applyAlignment="1">
      <alignment horizontal="center" vertical="center" wrapText="1"/>
    </xf>
    <xf numFmtId="164" fontId="21" fillId="0" borderId="1" xfId="0" applyNumberFormat="1" applyFont="1" applyBorder="1" applyAlignment="1">
      <alignment horizontal="center" vertical="center" wrapText="1"/>
    </xf>
    <xf numFmtId="164" fontId="17" fillId="0" borderId="19" xfId="0" applyNumberFormat="1" applyFont="1" applyBorder="1" applyAlignment="1">
      <alignment horizontal="center" vertical="center" wrapText="1"/>
    </xf>
    <xf numFmtId="164" fontId="17" fillId="2" borderId="5" xfId="0" applyNumberFormat="1" applyFont="1" applyFill="1" applyBorder="1" applyAlignment="1">
      <alignment horizontal="center" vertical="center" wrapText="1"/>
    </xf>
    <xf numFmtId="0" fontId="7" fillId="0" borderId="12" xfId="0" applyFont="1" applyBorder="1" applyAlignment="1">
      <alignment vertical="center" wrapText="1"/>
    </xf>
    <xf numFmtId="0" fontId="16" fillId="0" borderId="9" xfId="0" applyFont="1" applyBorder="1" applyAlignment="1">
      <alignment horizontal="left" vertical="center" wrapText="1"/>
    </xf>
    <xf numFmtId="0" fontId="16" fillId="0" borderId="4" xfId="0" applyFont="1" applyBorder="1" applyAlignment="1">
      <alignment vertical="center" wrapText="1"/>
    </xf>
    <xf numFmtId="0" fontId="22" fillId="0" borderId="0" xfId="0" applyFont="1"/>
    <xf numFmtId="0" fontId="16" fillId="0" borderId="14" xfId="0" applyFont="1" applyBorder="1" applyAlignment="1">
      <alignment vertical="center" wrapText="1"/>
    </xf>
    <xf numFmtId="0" fontId="16" fillId="0" borderId="7" xfId="0" applyFont="1" applyBorder="1" applyAlignment="1">
      <alignment vertical="center" wrapText="1"/>
    </xf>
    <xf numFmtId="0" fontId="16" fillId="0" borderId="4" xfId="0" applyFont="1" applyBorder="1" applyAlignment="1">
      <alignment horizontal="right" vertical="center" wrapText="1"/>
    </xf>
    <xf numFmtId="0" fontId="6" fillId="0" borderId="10" xfId="0" applyFont="1" applyBorder="1" applyAlignment="1">
      <alignment vertical="center" wrapText="1"/>
    </xf>
    <xf numFmtId="0" fontId="7" fillId="0" borderId="12" xfId="0" applyFont="1" applyBorder="1" applyAlignment="1">
      <alignment horizontal="justify" vertical="center" wrapText="1"/>
    </xf>
    <xf numFmtId="164" fontId="19" fillId="2" borderId="15" xfId="0" applyNumberFormat="1" applyFont="1" applyFill="1" applyBorder="1" applyAlignment="1">
      <alignment horizontal="center" vertical="center" wrapText="1"/>
    </xf>
    <xf numFmtId="0" fontId="9" fillId="2" borderId="10" xfId="0" applyFont="1" applyFill="1" applyBorder="1" applyAlignment="1">
      <alignment horizontal="left" vertical="center" wrapText="1"/>
    </xf>
    <xf numFmtId="164" fontId="21" fillId="0" borderId="10" xfId="0" applyNumberFormat="1" applyFont="1" applyBorder="1" applyAlignment="1">
      <alignment horizontal="center" vertical="center" wrapText="1"/>
    </xf>
    <xf numFmtId="0" fontId="8" fillId="2" borderId="10" xfId="0" applyFont="1" applyFill="1" applyBorder="1" applyAlignment="1">
      <alignment horizontal="center" vertical="center" wrapText="1"/>
    </xf>
    <xf numFmtId="0" fontId="18" fillId="2" borderId="7" xfId="0" applyFont="1" applyFill="1" applyBorder="1" applyAlignment="1">
      <alignment horizontal="justify" vertical="center" wrapText="1"/>
    </xf>
    <xf numFmtId="164" fontId="20" fillId="0" borderId="7" xfId="0" applyNumberFormat="1" applyFont="1" applyBorder="1" applyAlignment="1">
      <alignment horizontal="center" vertical="center" wrapText="1"/>
    </xf>
    <xf numFmtId="0" fontId="18" fillId="2" borderId="7" xfId="0" applyFont="1" applyFill="1" applyBorder="1" applyAlignment="1">
      <alignment vertical="center" wrapText="1"/>
    </xf>
    <xf numFmtId="164" fontId="20" fillId="0" borderId="14" xfId="0" applyNumberFormat="1" applyFont="1" applyBorder="1" applyAlignment="1">
      <alignment horizontal="center" vertical="center" wrapText="1"/>
    </xf>
    <xf numFmtId="0" fontId="18" fillId="2" borderId="13" xfId="0" applyFont="1" applyFill="1" applyBorder="1" applyAlignment="1">
      <alignment vertical="center" wrapText="1"/>
    </xf>
    <xf numFmtId="164" fontId="16" fillId="2" borderId="14" xfId="0" applyNumberFormat="1" applyFont="1" applyFill="1" applyBorder="1" applyAlignment="1">
      <alignment horizontal="center" vertical="center" wrapText="1"/>
    </xf>
    <xf numFmtId="164" fontId="20" fillId="2" borderId="4" xfId="0" applyNumberFormat="1" applyFont="1" applyFill="1" applyBorder="1" applyAlignment="1">
      <alignment horizontal="right" vertical="center" wrapText="1"/>
    </xf>
    <xf numFmtId="0" fontId="15" fillId="2" borderId="20" xfId="0" applyFont="1" applyFill="1" applyBorder="1" applyAlignment="1">
      <alignment horizontal="justify" vertical="center" wrapText="1"/>
    </xf>
    <xf numFmtId="0" fontId="18" fillId="2" borderId="20" xfId="0" applyFont="1" applyFill="1" applyBorder="1" applyAlignment="1">
      <alignment horizontal="justify" vertical="center" wrapText="1"/>
    </xf>
    <xf numFmtId="0" fontId="15" fillId="0" borderId="21" xfId="0" applyFont="1" applyBorder="1" applyAlignment="1">
      <alignment horizontal="left" wrapText="1"/>
    </xf>
    <xf numFmtId="0" fontId="18" fillId="2" borderId="22" xfId="0" applyFont="1" applyFill="1" applyBorder="1" applyAlignment="1">
      <alignment horizontal="justify" vertical="center" wrapText="1"/>
    </xf>
    <xf numFmtId="0" fontId="9" fillId="2" borderId="23" xfId="0" applyFont="1" applyFill="1" applyBorder="1" applyAlignment="1">
      <alignment horizontal="justify" vertical="center" wrapText="1"/>
    </xf>
    <xf numFmtId="0" fontId="9" fillId="0" borderId="24" xfId="0" applyFont="1" applyBorder="1" applyAlignment="1">
      <alignment vertical="center" wrapText="1"/>
    </xf>
    <xf numFmtId="0" fontId="9" fillId="0" borderId="0" xfId="0" applyFont="1" applyAlignment="1">
      <alignment vertical="center" wrapText="1"/>
    </xf>
    <xf numFmtId="0" fontId="10" fillId="0" borderId="24" xfId="0" applyFont="1" applyBorder="1" applyAlignment="1">
      <alignment vertical="center" wrapText="1"/>
    </xf>
    <xf numFmtId="0" fontId="6" fillId="0" borderId="23" xfId="0" applyFont="1" applyBorder="1" applyAlignment="1">
      <alignment vertical="center" wrapText="1"/>
    </xf>
    <xf numFmtId="164" fontId="20" fillId="2" borderId="7" xfId="0" applyNumberFormat="1" applyFont="1" applyFill="1" applyBorder="1" applyAlignment="1">
      <alignment horizontal="center" vertical="center" wrapText="1"/>
    </xf>
    <xf numFmtId="164" fontId="20" fillId="2" borderId="11" xfId="0" applyNumberFormat="1" applyFont="1" applyFill="1" applyBorder="1" applyAlignment="1">
      <alignment horizontal="center" vertical="center" wrapText="1"/>
    </xf>
    <xf numFmtId="164" fontId="19" fillId="0" borderId="6" xfId="0" applyNumberFormat="1" applyFont="1" applyBorder="1" applyAlignment="1">
      <alignment horizontal="center" vertical="center" wrapText="1"/>
    </xf>
    <xf numFmtId="164" fontId="17" fillId="2" borderId="14" xfId="0" applyNumberFormat="1" applyFont="1" applyFill="1" applyBorder="1" applyAlignment="1">
      <alignment horizontal="center" vertical="center" wrapText="1"/>
    </xf>
    <xf numFmtId="164" fontId="17" fillId="2" borderId="18" xfId="0" applyNumberFormat="1" applyFont="1" applyFill="1" applyBorder="1" applyAlignment="1">
      <alignment horizontal="center" vertical="center" wrapText="1"/>
    </xf>
    <xf numFmtId="164" fontId="7" fillId="0" borderId="16" xfId="0" applyNumberFormat="1" applyFont="1" applyBorder="1" applyAlignment="1">
      <alignment horizontal="center" vertical="center" wrapText="1"/>
    </xf>
    <xf numFmtId="164" fontId="7" fillId="0" borderId="25" xfId="0" applyNumberFormat="1" applyFont="1" applyBorder="1" applyAlignment="1">
      <alignment horizontal="center" vertical="center" wrapText="1"/>
    </xf>
    <xf numFmtId="164" fontId="7" fillId="0" borderId="26" xfId="0" applyNumberFormat="1" applyFont="1" applyBorder="1" applyAlignment="1">
      <alignment horizontal="center" vertical="center" wrapText="1"/>
    </xf>
    <xf numFmtId="164" fontId="6" fillId="0" borderId="19" xfId="0" applyNumberFormat="1" applyFont="1" applyBorder="1" applyAlignment="1">
      <alignment horizontal="center" vertical="center" wrapText="1"/>
    </xf>
    <xf numFmtId="164" fontId="7" fillId="0" borderId="8" xfId="0" applyNumberFormat="1" applyFont="1" applyBorder="1" applyAlignment="1">
      <alignment horizontal="center" vertical="center" wrapText="1"/>
    </xf>
    <xf numFmtId="164" fontId="7" fillId="0" borderId="27" xfId="0" applyNumberFormat="1" applyFont="1" applyBorder="1" applyAlignment="1">
      <alignment horizontal="center" vertical="center" wrapText="1"/>
    </xf>
    <xf numFmtId="164" fontId="16" fillId="2" borderId="27" xfId="0" applyNumberFormat="1" applyFont="1" applyFill="1" applyBorder="1" applyAlignment="1">
      <alignment horizontal="center" vertical="center" wrapText="1"/>
    </xf>
    <xf numFmtId="164" fontId="16" fillId="2" borderId="25" xfId="0" applyNumberFormat="1" applyFont="1" applyFill="1" applyBorder="1" applyAlignment="1">
      <alignment horizontal="center" vertical="center" wrapText="1"/>
    </xf>
    <xf numFmtId="164" fontId="20" fillId="2" borderId="25" xfId="0" applyNumberFormat="1" applyFont="1" applyFill="1" applyBorder="1" applyAlignment="1">
      <alignment horizontal="center" vertical="center" wrapText="1"/>
    </xf>
    <xf numFmtId="164" fontId="20" fillId="2" borderId="25" xfId="0" applyNumberFormat="1" applyFont="1" applyFill="1" applyBorder="1" applyAlignment="1">
      <alignment horizontal="right" vertical="center" wrapText="1"/>
    </xf>
    <xf numFmtId="164" fontId="17" fillId="2" borderId="27" xfId="0" applyNumberFormat="1" applyFont="1" applyFill="1" applyBorder="1" applyAlignment="1">
      <alignment horizontal="center" vertical="center" wrapText="1"/>
    </xf>
    <xf numFmtId="164" fontId="17" fillId="2" borderId="0" xfId="0" applyNumberFormat="1" applyFont="1" applyFill="1" applyAlignment="1">
      <alignment horizontal="center" vertical="center" wrapText="1"/>
    </xf>
    <xf numFmtId="164" fontId="17" fillId="0" borderId="28" xfId="0" applyNumberFormat="1" applyFont="1" applyBorder="1" applyAlignment="1">
      <alignment horizontal="center" vertical="center" wrapText="1"/>
    </xf>
    <xf numFmtId="164" fontId="17" fillId="2" borderId="16" xfId="0" applyNumberFormat="1" applyFont="1" applyFill="1" applyBorder="1" applyAlignment="1">
      <alignment horizontal="center" vertical="center" wrapText="1"/>
    </xf>
    <xf numFmtId="164" fontId="17" fillId="2" borderId="25" xfId="0" applyNumberFormat="1" applyFont="1" applyFill="1" applyBorder="1" applyAlignment="1">
      <alignment horizontal="center" vertical="center" wrapText="1"/>
    </xf>
    <xf numFmtId="164" fontId="17" fillId="0" borderId="25" xfId="0" applyNumberFormat="1" applyFont="1" applyBorder="1" applyAlignment="1">
      <alignment horizontal="center" vertical="center" wrapText="1"/>
    </xf>
    <xf numFmtId="164" fontId="17" fillId="0" borderId="26" xfId="0" applyNumberFormat="1" applyFont="1" applyBorder="1" applyAlignment="1">
      <alignment horizontal="center" vertical="center" wrapText="1"/>
    </xf>
    <xf numFmtId="164" fontId="17" fillId="0" borderId="29" xfId="0" applyNumberFormat="1" applyFont="1" applyBorder="1" applyAlignment="1">
      <alignment horizontal="center" vertical="center" wrapText="1"/>
    </xf>
    <xf numFmtId="164" fontId="17" fillId="2" borderId="26" xfId="0" applyNumberFormat="1" applyFont="1" applyFill="1" applyBorder="1" applyAlignment="1">
      <alignment horizontal="center" vertical="center" wrapText="1"/>
    </xf>
    <xf numFmtId="164" fontId="21" fillId="0" borderId="18" xfId="0" applyNumberFormat="1" applyFont="1" applyBorder="1" applyAlignment="1">
      <alignment horizontal="center" vertical="center" wrapText="1"/>
    </xf>
    <xf numFmtId="164" fontId="17" fillId="0" borderId="16" xfId="0" applyNumberFormat="1" applyFont="1" applyBorder="1" applyAlignment="1">
      <alignment horizontal="center" vertical="center" wrapText="1"/>
    </xf>
    <xf numFmtId="164" fontId="17" fillId="0" borderId="27" xfId="0" applyNumberFormat="1" applyFont="1" applyBorder="1" applyAlignment="1">
      <alignment horizontal="center" vertical="center" wrapText="1"/>
    </xf>
    <xf numFmtId="164" fontId="19" fillId="0" borderId="18" xfId="0" applyNumberFormat="1" applyFont="1" applyBorder="1" applyAlignment="1">
      <alignment horizontal="center" vertical="center" wrapText="1"/>
    </xf>
    <xf numFmtId="164" fontId="19" fillId="0" borderId="9" xfId="0" applyNumberFormat="1" applyFont="1" applyBorder="1" applyAlignment="1">
      <alignment horizontal="center" vertical="center" wrapText="1"/>
    </xf>
    <xf numFmtId="164" fontId="7" fillId="0" borderId="30" xfId="0" applyNumberFormat="1" applyFont="1" applyBorder="1" applyAlignment="1">
      <alignment horizontal="center" vertical="center" wrapText="1"/>
    </xf>
    <xf numFmtId="164" fontId="7" fillId="0" borderId="28" xfId="0" applyNumberFormat="1" applyFont="1" applyBorder="1" applyAlignment="1">
      <alignment horizontal="center" vertical="center" wrapText="1"/>
    </xf>
    <xf numFmtId="164" fontId="6" fillId="0" borderId="18" xfId="0" applyNumberFormat="1" applyFont="1" applyBorder="1" applyAlignment="1">
      <alignment horizontal="center" vertical="center" wrapText="1"/>
    </xf>
    <xf numFmtId="0" fontId="23" fillId="0" borderId="0" xfId="0" applyFont="1" applyAlignment="1">
      <alignment horizontal="right"/>
    </xf>
    <xf numFmtId="0" fontId="23" fillId="0" borderId="0" xfId="0" applyFont="1" applyAlignment="1">
      <alignment horizontal="left" vertical="center"/>
    </xf>
    <xf numFmtId="0" fontId="23" fillId="0" borderId="0" xfId="0" applyFont="1"/>
    <xf numFmtId="164" fontId="24" fillId="0" borderId="0" xfId="0" applyNumberFormat="1" applyFont="1" applyProtection="1">
      <protection locked="0"/>
    </xf>
    <xf numFmtId="164" fontId="16" fillId="0" borderId="7" xfId="0" applyNumberFormat="1" applyFont="1" applyBorder="1" applyAlignment="1">
      <alignment horizontal="center" vertical="center" wrapText="1"/>
    </xf>
    <xf numFmtId="164" fontId="20" fillId="0" borderId="30" xfId="0" applyNumberFormat="1" applyFont="1" applyBorder="1" applyAlignment="1">
      <alignment horizontal="center" vertical="center" wrapText="1"/>
    </xf>
    <xf numFmtId="164" fontId="20" fillId="0" borderId="20" xfId="0" applyNumberFormat="1" applyFont="1" applyBorder="1" applyAlignment="1">
      <alignment horizontal="center" vertical="center" wrapText="1"/>
    </xf>
    <xf numFmtId="164" fontId="20" fillId="0" borderId="27" xfId="0" applyNumberFormat="1" applyFont="1" applyBorder="1" applyAlignment="1">
      <alignment horizontal="center" vertical="center" wrapText="1"/>
    </xf>
    <xf numFmtId="164" fontId="20" fillId="0" borderId="0" xfId="0" applyNumberFormat="1" applyFont="1" applyAlignment="1">
      <alignment horizontal="center" vertical="center" wrapText="1"/>
    </xf>
    <xf numFmtId="164" fontId="20" fillId="2" borderId="20" xfId="0" applyNumberFormat="1" applyFont="1" applyFill="1" applyBorder="1" applyAlignment="1">
      <alignment horizontal="center" vertical="center" wrapText="1"/>
    </xf>
    <xf numFmtId="164" fontId="20" fillId="2" borderId="22" xfId="0" applyNumberFormat="1" applyFont="1" applyFill="1" applyBorder="1" applyAlignment="1">
      <alignment horizontal="center" vertical="center" wrapText="1"/>
    </xf>
    <xf numFmtId="164" fontId="19" fillId="2" borderId="18" xfId="0" applyNumberFormat="1" applyFont="1" applyFill="1" applyBorder="1" applyAlignment="1">
      <alignment horizontal="center" vertical="center" wrapText="1"/>
    </xf>
    <xf numFmtId="164" fontId="21" fillId="0" borderId="6" xfId="0" applyNumberFormat="1" applyFont="1" applyBorder="1" applyAlignment="1">
      <alignment horizontal="center" vertical="center" wrapText="1"/>
    </xf>
    <xf numFmtId="164" fontId="20" fillId="0" borderId="8" xfId="0" applyNumberFormat="1" applyFont="1" applyBorder="1" applyAlignment="1">
      <alignment horizontal="center" vertical="center" wrapText="1"/>
    </xf>
    <xf numFmtId="164" fontId="20" fillId="0" borderId="22" xfId="0" applyNumberFormat="1" applyFont="1" applyBorder="1" applyAlignment="1">
      <alignment horizontal="center" vertical="center" wrapText="1"/>
    </xf>
    <xf numFmtId="164" fontId="17" fillId="0" borderId="2" xfId="0" applyNumberFormat="1" applyFont="1" applyBorder="1" applyAlignment="1">
      <alignment horizontal="center" vertical="center" wrapText="1"/>
    </xf>
    <xf numFmtId="164" fontId="19" fillId="0" borderId="15" xfId="0" applyNumberFormat="1" applyFont="1" applyBorder="1" applyAlignment="1">
      <alignment horizontal="center" vertical="center" wrapText="1"/>
    </xf>
    <xf numFmtId="164" fontId="20" fillId="2" borderId="14" xfId="0" applyNumberFormat="1" applyFont="1" applyFill="1" applyBorder="1" applyAlignment="1">
      <alignment horizontal="center" vertical="center" wrapText="1"/>
    </xf>
    <xf numFmtId="164" fontId="25" fillId="0" borderId="0" xfId="0" applyNumberFormat="1" applyFont="1"/>
    <xf numFmtId="0" fontId="25" fillId="0" borderId="0" xfId="0" applyFont="1"/>
    <xf numFmtId="164" fontId="17" fillId="0" borderId="7" xfId="0" applyNumberFormat="1" applyFont="1" applyBorder="1" applyAlignment="1">
      <alignment horizontal="center" vertical="center" wrapText="1"/>
    </xf>
    <xf numFmtId="164" fontId="20" fillId="2" borderId="9" xfId="0" applyNumberFormat="1" applyFont="1" applyFill="1" applyBorder="1" applyAlignment="1">
      <alignment horizontal="center" vertical="center" wrapText="1"/>
    </xf>
    <xf numFmtId="0" fontId="18" fillId="2" borderId="31" xfId="0" applyFont="1" applyFill="1" applyBorder="1" applyAlignment="1">
      <alignment horizontal="justify" vertical="center" wrapText="1"/>
    </xf>
    <xf numFmtId="164" fontId="20" fillId="2" borderId="8" xfId="0" applyNumberFormat="1" applyFont="1" applyFill="1" applyBorder="1" applyAlignment="1">
      <alignment horizontal="center" vertical="center" wrapText="1"/>
    </xf>
    <xf numFmtId="0" fontId="21" fillId="2" borderId="23" xfId="0" applyFont="1" applyFill="1" applyBorder="1" applyAlignment="1">
      <alignment horizontal="justify" vertical="center" wrapText="1"/>
    </xf>
    <xf numFmtId="0" fontId="21" fillId="0" borderId="24" xfId="0" applyFont="1" applyBorder="1" applyAlignment="1">
      <alignment vertical="center" wrapText="1"/>
    </xf>
    <xf numFmtId="164" fontId="17" fillId="2" borderId="7" xfId="0" applyNumberFormat="1" applyFont="1" applyFill="1" applyBorder="1" applyAlignment="1">
      <alignment horizontal="center" vertical="center" wrapText="1"/>
    </xf>
    <xf numFmtId="164" fontId="27" fillId="2" borderId="7" xfId="0" applyNumberFormat="1" applyFont="1" applyFill="1" applyBorder="1" applyAlignment="1">
      <alignment horizontal="center" vertical="center" wrapText="1"/>
    </xf>
    <xf numFmtId="164" fontId="17" fillId="2" borderId="13" xfId="0" applyNumberFormat="1" applyFont="1" applyFill="1" applyBorder="1" applyAlignment="1">
      <alignment horizontal="center" vertical="center" wrapText="1"/>
    </xf>
    <xf numFmtId="0" fontId="28" fillId="0" borderId="0" xfId="0" applyFont="1" applyAlignment="1">
      <alignment horizontal="left" vertical="center"/>
    </xf>
    <xf numFmtId="0" fontId="28" fillId="0" borderId="0" xfId="0" applyFont="1"/>
    <xf numFmtId="0" fontId="19" fillId="0" borderId="0" xfId="0" applyFont="1" applyAlignment="1">
      <alignment horizontal="center" vertical="center"/>
    </xf>
    <xf numFmtId="0" fontId="21" fillId="0" borderId="6" xfId="0" applyFont="1" applyBorder="1" applyAlignment="1">
      <alignment horizontal="left" vertical="center" wrapText="1"/>
    </xf>
    <xf numFmtId="0" fontId="21" fillId="0" borderId="1" xfId="0" applyFont="1" applyBorder="1" applyAlignment="1">
      <alignment vertical="center" wrapText="1"/>
    </xf>
    <xf numFmtId="0" fontId="19" fillId="0" borderId="6" xfId="0" applyFont="1" applyBorder="1" applyAlignment="1">
      <alignment horizontal="left" vertical="center" wrapText="1"/>
    </xf>
    <xf numFmtId="0" fontId="19" fillId="0" borderId="1" xfId="0" applyFont="1" applyBorder="1" applyAlignment="1">
      <alignment vertical="center" wrapText="1"/>
    </xf>
    <xf numFmtId="0" fontId="17" fillId="0" borderId="2" xfId="0" applyFont="1" applyBorder="1" applyAlignment="1">
      <alignment horizontal="left" vertical="center" wrapText="1"/>
    </xf>
    <xf numFmtId="0" fontId="17" fillId="0" borderId="2" xfId="0" applyFont="1" applyBorder="1" applyAlignment="1">
      <alignment vertical="center" wrapText="1"/>
    </xf>
    <xf numFmtId="0" fontId="17" fillId="0" borderId="11" xfId="0" applyFont="1" applyBorder="1" applyAlignment="1">
      <alignment horizontal="left" vertical="center" wrapText="1"/>
    </xf>
    <xf numFmtId="0" fontId="17" fillId="0" borderId="12" xfId="0" applyFont="1" applyBorder="1" applyAlignment="1">
      <alignment vertical="center" wrapText="1"/>
    </xf>
    <xf numFmtId="0" fontId="19" fillId="0" borderId="10" xfId="0" applyFont="1" applyBorder="1" applyAlignment="1">
      <alignment horizontal="left" vertical="center" wrapText="1"/>
    </xf>
    <xf numFmtId="0" fontId="19" fillId="0" borderId="15" xfId="0" applyFont="1" applyBorder="1" applyAlignment="1">
      <alignment vertical="center" wrapText="1"/>
    </xf>
    <xf numFmtId="0" fontId="17" fillId="0" borderId="3" xfId="0" applyFont="1" applyBorder="1" applyAlignment="1">
      <alignment vertical="center" wrapText="1"/>
    </xf>
    <xf numFmtId="0" fontId="17" fillId="0" borderId="7" xfId="0" applyFont="1" applyBorder="1" applyAlignment="1">
      <alignment horizontal="left" vertical="center" wrapText="1"/>
    </xf>
    <xf numFmtId="0" fontId="17" fillId="0" borderId="4" xfId="0" applyFont="1" applyBorder="1" applyAlignment="1">
      <alignment vertical="center" wrapText="1"/>
    </xf>
    <xf numFmtId="0" fontId="17" fillId="0" borderId="8" xfId="0" applyFont="1" applyBorder="1" applyAlignment="1">
      <alignment horizontal="left" vertical="center" wrapText="1"/>
    </xf>
    <xf numFmtId="0" fontId="17" fillId="0" borderId="5" xfId="0" applyFont="1" applyBorder="1" applyAlignment="1">
      <alignment vertical="center" wrapText="1"/>
    </xf>
    <xf numFmtId="0" fontId="17" fillId="0" borderId="13" xfId="0" applyFont="1" applyBorder="1" applyAlignment="1">
      <alignment horizontal="left" vertical="center" wrapText="1"/>
    </xf>
    <xf numFmtId="0" fontId="17" fillId="0" borderId="14" xfId="0" applyFont="1" applyBorder="1" applyAlignment="1">
      <alignment vertical="center" wrapText="1"/>
    </xf>
    <xf numFmtId="0" fontId="21" fillId="0" borderId="10" xfId="0" applyFont="1" applyBorder="1" applyAlignment="1">
      <alignment horizontal="left" vertical="center" wrapText="1"/>
    </xf>
    <xf numFmtId="0" fontId="21" fillId="0" borderId="10" xfId="0" applyFont="1" applyBorder="1" applyAlignment="1">
      <alignment vertical="center" wrapText="1"/>
    </xf>
    <xf numFmtId="0" fontId="19" fillId="0" borderId="17" xfId="0" applyFont="1" applyBorder="1" applyAlignment="1">
      <alignment horizontal="left" vertical="center" wrapText="1"/>
    </xf>
    <xf numFmtId="0" fontId="19" fillId="0" borderId="17" xfId="0" applyFont="1" applyBorder="1" applyAlignment="1">
      <alignment vertical="center" wrapText="1"/>
    </xf>
    <xf numFmtId="0" fontId="17" fillId="0" borderId="13" xfId="0" applyFont="1" applyBorder="1" applyAlignment="1">
      <alignment vertical="center" wrapText="1"/>
    </xf>
    <xf numFmtId="0" fontId="17" fillId="0" borderId="11" xfId="0" applyFont="1" applyBorder="1" applyAlignment="1">
      <alignment vertical="center" wrapText="1"/>
    </xf>
    <xf numFmtId="0" fontId="17" fillId="0" borderId="6" xfId="0" applyFont="1" applyBorder="1" applyAlignment="1">
      <alignment horizontal="left" vertical="center" wrapText="1"/>
    </xf>
    <xf numFmtId="0" fontId="17" fillId="0" borderId="1" xfId="0" applyFont="1" applyBorder="1" applyAlignment="1">
      <alignment vertical="center" wrapText="1"/>
    </xf>
    <xf numFmtId="0" fontId="17" fillId="0" borderId="10" xfId="0" applyFont="1" applyBorder="1" applyAlignment="1">
      <alignment horizontal="left" vertical="center" wrapText="1"/>
    </xf>
    <xf numFmtId="0" fontId="19" fillId="0" borderId="10" xfId="0" applyFont="1" applyBorder="1" applyAlignment="1">
      <alignment vertical="center" wrapText="1"/>
    </xf>
    <xf numFmtId="0" fontId="29" fillId="0" borderId="0" xfId="0" applyFont="1"/>
    <xf numFmtId="0" fontId="20" fillId="0" borderId="14" xfId="0" applyFont="1" applyBorder="1" applyAlignment="1">
      <alignment vertical="center" wrapText="1"/>
    </xf>
    <xf numFmtId="0" fontId="17" fillId="0" borderId="9" xfId="0" applyFont="1" applyBorder="1" applyAlignment="1">
      <alignment horizontal="left" vertical="center" wrapText="1"/>
    </xf>
    <xf numFmtId="0" fontId="20" fillId="0" borderId="4" xfId="0" applyFont="1" applyBorder="1" applyAlignment="1">
      <alignment vertical="center" wrapText="1"/>
    </xf>
    <xf numFmtId="0" fontId="20" fillId="0" borderId="7" xfId="0" applyFont="1" applyBorder="1" applyAlignment="1">
      <alignment vertical="center" wrapText="1"/>
    </xf>
    <xf numFmtId="0" fontId="17" fillId="0" borderId="7" xfId="0" applyFont="1" applyBorder="1" applyAlignment="1">
      <alignment vertical="center" wrapText="1"/>
    </xf>
    <xf numFmtId="0" fontId="17" fillId="0" borderId="18" xfId="0" applyFont="1" applyBorder="1" applyAlignment="1">
      <alignment vertical="center" wrapText="1"/>
    </xf>
    <xf numFmtId="0" fontId="17" fillId="0" borderId="12" xfId="0" applyFont="1" applyBorder="1" applyAlignment="1">
      <alignment horizontal="justify" vertical="center" wrapText="1"/>
    </xf>
    <xf numFmtId="0" fontId="21" fillId="2" borderId="10" xfId="0" applyFont="1" applyFill="1" applyBorder="1" applyAlignment="1">
      <alignment horizontal="left" vertical="center" wrapText="1"/>
    </xf>
    <xf numFmtId="0" fontId="30" fillId="2" borderId="10" xfId="0" applyFont="1" applyFill="1" applyBorder="1" applyAlignment="1">
      <alignment horizontal="center" vertical="center" wrapText="1"/>
    </xf>
    <xf numFmtId="0" fontId="19" fillId="0" borderId="9" xfId="0" applyFont="1" applyBorder="1" applyAlignment="1">
      <alignment horizontal="left" vertical="center" wrapText="1"/>
    </xf>
    <xf numFmtId="0" fontId="21" fillId="0" borderId="0" xfId="0" applyFont="1" applyAlignment="1">
      <alignment vertical="center" wrapText="1"/>
    </xf>
    <xf numFmtId="0" fontId="19" fillId="0" borderId="23" xfId="0" applyFont="1" applyBorder="1" applyAlignment="1">
      <alignment vertical="center" wrapText="1"/>
    </xf>
    <xf numFmtId="0" fontId="25" fillId="0" borderId="0" xfId="0" applyFont="1" applyAlignment="1">
      <alignment horizontal="left" vertical="center"/>
    </xf>
    <xf numFmtId="0" fontId="28" fillId="0" borderId="0" xfId="0" applyFont="1" applyAlignment="1">
      <alignment horizontal="right"/>
    </xf>
    <xf numFmtId="164" fontId="27" fillId="2" borderId="11" xfId="0" applyNumberFormat="1" applyFont="1" applyFill="1" applyBorder="1" applyAlignment="1">
      <alignment horizontal="center" vertical="center" wrapText="1"/>
    </xf>
    <xf numFmtId="0" fontId="32" fillId="0" borderId="0" xfId="0" applyFont="1" applyAlignment="1">
      <alignment wrapText="1"/>
    </xf>
    <xf numFmtId="165" fontId="2" fillId="0" borderId="0" xfId="0" applyNumberFormat="1" applyFont="1" applyProtection="1">
      <protection locked="0"/>
    </xf>
    <xf numFmtId="165" fontId="24" fillId="0" borderId="0" xfId="0" applyNumberFormat="1" applyFont="1" applyProtection="1">
      <protection locked="0"/>
    </xf>
    <xf numFmtId="165" fontId="25" fillId="0" borderId="0" xfId="0" applyNumberFormat="1" applyFont="1"/>
    <xf numFmtId="165" fontId="28" fillId="0" borderId="0" xfId="0" applyNumberFormat="1" applyFont="1" applyAlignment="1">
      <alignment horizontal="right"/>
    </xf>
    <xf numFmtId="165" fontId="19" fillId="0" borderId="6" xfId="0" applyNumberFormat="1" applyFont="1" applyBorder="1" applyAlignment="1">
      <alignment horizontal="center" vertical="center" wrapText="1"/>
    </xf>
    <xf numFmtId="165" fontId="21" fillId="0" borderId="1" xfId="0" applyNumberFormat="1" applyFont="1" applyBorder="1" applyAlignment="1">
      <alignment horizontal="center" vertical="center" wrapText="1"/>
    </xf>
    <xf numFmtId="165" fontId="19" fillId="0" borderId="1" xfId="0" applyNumberFormat="1" applyFont="1" applyBorder="1" applyAlignment="1">
      <alignment horizontal="center" vertical="center" wrapText="1"/>
    </xf>
    <xf numFmtId="165" fontId="17" fillId="0" borderId="12" xfId="0" applyNumberFormat="1" applyFont="1" applyBorder="1" applyAlignment="1">
      <alignment horizontal="center" vertical="center" wrapText="1"/>
    </xf>
    <xf numFmtId="165" fontId="19" fillId="0" borderId="15" xfId="0" applyNumberFormat="1" applyFont="1" applyBorder="1" applyAlignment="1">
      <alignment horizontal="center" vertical="center" wrapText="1"/>
    </xf>
    <xf numFmtId="165" fontId="17" fillId="0" borderId="14" xfId="0" applyNumberFormat="1" applyFont="1" applyBorder="1" applyAlignment="1">
      <alignment horizontal="center" vertical="center" wrapText="1"/>
    </xf>
    <xf numFmtId="165" fontId="21" fillId="0" borderId="15" xfId="0" applyNumberFormat="1" applyFont="1" applyBorder="1" applyAlignment="1">
      <alignment horizontal="center" vertical="center" wrapText="1"/>
    </xf>
    <xf numFmtId="165" fontId="19" fillId="0" borderId="10" xfId="0" applyNumberFormat="1" applyFont="1" applyBorder="1" applyAlignment="1">
      <alignment horizontal="center" vertical="center" wrapText="1"/>
    </xf>
    <xf numFmtId="165" fontId="20" fillId="2" borderId="14" xfId="0" applyNumberFormat="1" applyFont="1" applyFill="1" applyBorder="1" applyAlignment="1">
      <alignment horizontal="center" vertical="center" wrapText="1"/>
    </xf>
    <xf numFmtId="165" fontId="20" fillId="2" borderId="4" xfId="0" applyNumberFormat="1" applyFont="1" applyFill="1" applyBorder="1" applyAlignment="1">
      <alignment horizontal="center" vertical="center" wrapText="1"/>
    </xf>
    <xf numFmtId="165" fontId="17" fillId="2" borderId="14" xfId="0" applyNumberFormat="1" applyFont="1" applyFill="1" applyBorder="1" applyAlignment="1">
      <alignment horizontal="center" vertical="center" wrapText="1"/>
    </xf>
    <xf numFmtId="165" fontId="17" fillId="2" borderId="7" xfId="0" applyNumberFormat="1" applyFont="1" applyFill="1" applyBorder="1" applyAlignment="1">
      <alignment horizontal="center" vertical="center" wrapText="1"/>
    </xf>
    <xf numFmtId="165" fontId="17" fillId="2" borderId="13" xfId="0" applyNumberFormat="1" applyFont="1" applyFill="1" applyBorder="1" applyAlignment="1">
      <alignment horizontal="center" vertical="center" wrapText="1"/>
    </xf>
    <xf numFmtId="165" fontId="19" fillId="2" borderId="15" xfId="0" applyNumberFormat="1" applyFont="1" applyFill="1" applyBorder="1" applyAlignment="1">
      <alignment horizontal="center" vertical="center" wrapText="1"/>
    </xf>
    <xf numFmtId="165" fontId="20" fillId="0" borderId="2" xfId="0" applyNumberFormat="1" applyFont="1" applyBorder="1" applyAlignment="1">
      <alignment horizontal="center" vertical="center" wrapText="1"/>
    </xf>
    <xf numFmtId="165" fontId="20" fillId="0" borderId="7" xfId="0" applyNumberFormat="1" applyFont="1" applyBorder="1" applyAlignment="1">
      <alignment horizontal="center" vertical="center" wrapText="1"/>
    </xf>
    <xf numFmtId="165" fontId="20" fillId="0" borderId="14" xfId="0" applyNumberFormat="1" applyFont="1" applyBorder="1" applyAlignment="1">
      <alignment horizontal="center" vertical="center" wrapText="1"/>
    </xf>
    <xf numFmtId="165" fontId="20" fillId="0" borderId="18" xfId="0" applyNumberFormat="1" applyFont="1" applyBorder="1" applyAlignment="1">
      <alignment horizontal="center" vertical="center" wrapText="1"/>
    </xf>
    <xf numFmtId="165" fontId="20" fillId="2" borderId="7" xfId="0" applyNumberFormat="1" applyFont="1" applyFill="1" applyBorder="1" applyAlignment="1">
      <alignment horizontal="center" vertical="center" wrapText="1"/>
    </xf>
    <xf numFmtId="165" fontId="20" fillId="2" borderId="11" xfId="0" applyNumberFormat="1" applyFont="1" applyFill="1" applyBorder="1" applyAlignment="1">
      <alignment horizontal="center" vertical="center" wrapText="1"/>
    </xf>
    <xf numFmtId="165" fontId="20" fillId="2" borderId="9" xfId="0" applyNumberFormat="1" applyFont="1" applyFill="1" applyBorder="1" applyAlignment="1">
      <alignment horizontal="center" vertical="center" wrapText="1"/>
    </xf>
    <xf numFmtId="165" fontId="20" fillId="2" borderId="8" xfId="0" applyNumberFormat="1" applyFont="1" applyFill="1" applyBorder="1" applyAlignment="1">
      <alignment horizontal="center" vertical="center" wrapText="1"/>
    </xf>
    <xf numFmtId="165" fontId="21" fillId="0" borderId="10" xfId="0" applyNumberFormat="1" applyFont="1" applyBorder="1" applyAlignment="1">
      <alignment horizontal="center" vertical="center" wrapText="1"/>
    </xf>
    <xf numFmtId="166" fontId="2" fillId="0" borderId="0" xfId="0" applyNumberFormat="1" applyFont="1" applyProtection="1">
      <protection locked="0"/>
    </xf>
    <xf numFmtId="166" fontId="24" fillId="0" borderId="0" xfId="0" applyNumberFormat="1" applyFont="1" applyProtection="1">
      <protection locked="0"/>
    </xf>
    <xf numFmtId="166" fontId="25" fillId="0" borderId="0" xfId="0" applyNumberFormat="1" applyFont="1"/>
    <xf numFmtId="166" fontId="28" fillId="0" borderId="0" xfId="0" applyNumberFormat="1" applyFont="1" applyAlignment="1">
      <alignment horizontal="right"/>
    </xf>
    <xf numFmtId="166" fontId="19" fillId="0" borderId="6" xfId="0" applyNumberFormat="1" applyFont="1" applyBorder="1" applyAlignment="1">
      <alignment horizontal="center" vertical="center" wrapText="1"/>
    </xf>
    <xf numFmtId="166" fontId="21" fillId="0" borderId="1" xfId="0" applyNumberFormat="1" applyFont="1" applyBorder="1" applyAlignment="1">
      <alignment horizontal="center" vertical="center" wrapText="1"/>
    </xf>
    <xf numFmtId="166" fontId="19" fillId="0" borderId="1" xfId="0" applyNumberFormat="1" applyFont="1" applyBorder="1" applyAlignment="1">
      <alignment horizontal="center" vertical="center" wrapText="1"/>
    </xf>
    <xf numFmtId="166" fontId="17" fillId="0" borderId="2" xfId="0" applyNumberFormat="1" applyFont="1" applyBorder="1" applyAlignment="1">
      <alignment horizontal="center" vertical="center" wrapText="1"/>
    </xf>
    <xf numFmtId="166" fontId="17" fillId="0" borderId="12" xfId="0" applyNumberFormat="1" applyFont="1" applyBorder="1" applyAlignment="1">
      <alignment horizontal="center" vertical="center" wrapText="1"/>
    </xf>
    <xf numFmtId="166" fontId="19" fillId="0" borderId="15" xfId="0" applyNumberFormat="1" applyFont="1" applyBorder="1" applyAlignment="1">
      <alignment horizontal="center" vertical="center" wrapText="1"/>
    </xf>
    <xf numFmtId="166" fontId="17" fillId="0" borderId="3" xfId="0" applyNumberFormat="1" applyFont="1" applyBorder="1" applyAlignment="1">
      <alignment horizontal="center" vertical="center" wrapText="1"/>
    </xf>
    <xf numFmtId="166" fontId="17" fillId="0" borderId="4" xfId="0" applyNumberFormat="1" applyFont="1" applyBorder="1" applyAlignment="1">
      <alignment horizontal="center" vertical="center" wrapText="1"/>
    </xf>
    <xf numFmtId="166" fontId="17" fillId="0" borderId="5" xfId="0" applyNumberFormat="1" applyFont="1" applyBorder="1" applyAlignment="1">
      <alignment horizontal="center" vertical="center" wrapText="1"/>
    </xf>
    <xf numFmtId="166" fontId="17" fillId="0" borderId="14" xfId="0" applyNumberFormat="1" applyFont="1" applyBorder="1" applyAlignment="1">
      <alignment horizontal="center" vertical="center" wrapText="1"/>
    </xf>
    <xf numFmtId="166" fontId="21" fillId="0" borderId="15" xfId="0" applyNumberFormat="1" applyFont="1" applyBorder="1" applyAlignment="1">
      <alignment horizontal="center" vertical="center" wrapText="1"/>
    </xf>
    <xf numFmtId="166" fontId="19" fillId="0" borderId="10" xfId="0" applyNumberFormat="1" applyFont="1" applyBorder="1" applyAlignment="1">
      <alignment horizontal="center" vertical="center" wrapText="1"/>
    </xf>
    <xf numFmtId="166" fontId="17" fillId="2" borderId="3" xfId="0" applyNumberFormat="1" applyFont="1" applyFill="1" applyBorder="1" applyAlignment="1">
      <alignment horizontal="center" vertical="center" wrapText="1"/>
    </xf>
    <xf numFmtId="166" fontId="17" fillId="2" borderId="4" xfId="0" applyNumberFormat="1" applyFont="1" applyFill="1" applyBorder="1" applyAlignment="1">
      <alignment horizontal="center" vertical="center" wrapText="1"/>
    </xf>
    <xf numFmtId="166" fontId="17" fillId="0" borderId="19" xfId="0" applyNumberFormat="1" applyFont="1" applyBorder="1" applyAlignment="1">
      <alignment horizontal="center" vertical="center" wrapText="1"/>
    </xf>
    <xf numFmtId="166" fontId="17" fillId="2" borderId="5" xfId="0" applyNumberFormat="1" applyFont="1" applyFill="1" applyBorder="1" applyAlignment="1">
      <alignment horizontal="center" vertical="center" wrapText="1"/>
    </xf>
    <xf numFmtId="166" fontId="20" fillId="2" borderId="4" xfId="0" applyNumberFormat="1" applyFont="1" applyFill="1" applyBorder="1" applyAlignment="1">
      <alignment horizontal="center" vertical="center" wrapText="1"/>
    </xf>
    <xf numFmtId="166" fontId="17" fillId="2" borderId="14" xfId="0" applyNumberFormat="1" applyFont="1" applyFill="1" applyBorder="1" applyAlignment="1">
      <alignment horizontal="center" vertical="center" wrapText="1"/>
    </xf>
    <xf numFmtId="166" fontId="17" fillId="2" borderId="7" xfId="0" applyNumberFormat="1" applyFont="1" applyFill="1" applyBorder="1" applyAlignment="1">
      <alignment horizontal="center" vertical="center" wrapText="1"/>
    </xf>
    <xf numFmtId="166" fontId="17" fillId="2" borderId="13" xfId="0" applyNumberFormat="1" applyFont="1" applyFill="1" applyBorder="1" applyAlignment="1">
      <alignment horizontal="center" vertical="center" wrapText="1"/>
    </xf>
    <xf numFmtId="166" fontId="19" fillId="2" borderId="15" xfId="0" applyNumberFormat="1" applyFont="1" applyFill="1" applyBorder="1" applyAlignment="1">
      <alignment horizontal="center" vertical="center" wrapText="1"/>
    </xf>
    <xf numFmtId="166" fontId="20" fillId="0" borderId="7" xfId="0" applyNumberFormat="1" applyFont="1" applyBorder="1" applyAlignment="1">
      <alignment horizontal="center" vertical="center" wrapText="1"/>
    </xf>
    <xf numFmtId="166" fontId="20" fillId="0" borderId="14" xfId="0" applyNumberFormat="1" applyFont="1" applyBorder="1" applyAlignment="1">
      <alignment horizontal="center" vertical="center" wrapText="1"/>
    </xf>
    <xf numFmtId="166" fontId="20" fillId="2" borderId="7" xfId="0" applyNumberFormat="1" applyFont="1" applyFill="1" applyBorder="1" applyAlignment="1">
      <alignment horizontal="center" vertical="center" wrapText="1"/>
    </xf>
    <xf numFmtId="166" fontId="20" fillId="2" borderId="11" xfId="0" applyNumberFormat="1" applyFont="1" applyFill="1" applyBorder="1" applyAlignment="1">
      <alignment horizontal="center" vertical="center" wrapText="1"/>
    </xf>
    <xf numFmtId="166" fontId="21" fillId="0" borderId="10" xfId="0" applyNumberFormat="1" applyFont="1" applyBorder="1" applyAlignment="1">
      <alignment horizontal="center" vertical="center" wrapText="1"/>
    </xf>
    <xf numFmtId="164" fontId="26" fillId="2" borderId="7" xfId="0" applyNumberFormat="1" applyFont="1" applyFill="1" applyBorder="1" applyAlignment="1">
      <alignment horizontal="center" vertical="center" wrapText="1"/>
    </xf>
    <xf numFmtId="49" fontId="33" fillId="2" borderId="7" xfId="0" applyNumberFormat="1" applyFont="1" applyFill="1" applyBorder="1" applyAlignment="1">
      <alignment horizontal="center" vertical="center" wrapText="1"/>
    </xf>
    <xf numFmtId="0" fontId="19" fillId="0" borderId="32" xfId="0" applyFont="1" applyBorder="1" applyAlignment="1">
      <alignment horizontal="left" vertical="center" wrapText="1"/>
    </xf>
    <xf numFmtId="164" fontId="26" fillId="0" borderId="12" xfId="0" applyNumberFormat="1" applyFont="1" applyBorder="1" applyAlignment="1">
      <alignment horizontal="center" vertical="center" wrapText="1"/>
    </xf>
    <xf numFmtId="164" fontId="27" fillId="0" borderId="2" xfId="0" applyNumberFormat="1" applyFont="1" applyBorder="1" applyAlignment="1">
      <alignment horizontal="center" vertical="center" wrapText="1"/>
    </xf>
    <xf numFmtId="164" fontId="17" fillId="0" borderId="6" xfId="0" applyNumberFormat="1" applyFont="1" applyBorder="1" applyAlignment="1">
      <alignment horizontal="center" vertical="center" wrapText="1"/>
    </xf>
    <xf numFmtId="164" fontId="35" fillId="0" borderId="0" xfId="0" applyNumberFormat="1" applyFont="1"/>
    <xf numFmtId="164" fontId="19" fillId="0" borderId="3" xfId="0" applyNumberFormat="1" applyFont="1" applyBorder="1" applyAlignment="1">
      <alignment horizontal="center" vertical="center" wrapText="1"/>
    </xf>
    <xf numFmtId="165" fontId="17" fillId="0" borderId="2" xfId="0" applyNumberFormat="1" applyFont="1" applyBorder="1" applyAlignment="1">
      <alignment horizontal="center" vertical="center" wrapText="1"/>
    </xf>
    <xf numFmtId="165" fontId="17" fillId="0" borderId="3" xfId="0" applyNumberFormat="1" applyFont="1" applyBorder="1" applyAlignment="1">
      <alignment horizontal="center" vertical="center" wrapText="1"/>
    </xf>
    <xf numFmtId="165" fontId="17" fillId="0" borderId="4" xfId="0" applyNumberFormat="1" applyFont="1" applyBorder="1" applyAlignment="1">
      <alignment horizontal="center" vertical="center" wrapText="1"/>
    </xf>
    <xf numFmtId="165" fontId="17" fillId="0" borderId="5" xfId="0" applyNumberFormat="1" applyFont="1" applyBorder="1" applyAlignment="1">
      <alignment horizontal="center" vertical="center" wrapText="1"/>
    </xf>
    <xf numFmtId="165" fontId="17" fillId="2" borderId="3" xfId="0" applyNumberFormat="1" applyFont="1" applyFill="1" applyBorder="1" applyAlignment="1">
      <alignment horizontal="center" vertical="center" wrapText="1"/>
    </xf>
    <xf numFmtId="165" fontId="17" fillId="2" borderId="4" xfId="0" applyNumberFormat="1" applyFont="1" applyFill="1" applyBorder="1" applyAlignment="1">
      <alignment horizontal="center" vertical="center" wrapText="1"/>
    </xf>
    <xf numFmtId="165" fontId="17" fillId="0" borderId="19" xfId="0" applyNumberFormat="1" applyFont="1" applyBorder="1" applyAlignment="1">
      <alignment horizontal="center" vertical="center" wrapText="1"/>
    </xf>
    <xf numFmtId="165" fontId="17" fillId="2" borderId="5" xfId="0" applyNumberFormat="1" applyFont="1" applyFill="1" applyBorder="1" applyAlignment="1">
      <alignment horizontal="center" vertical="center" wrapText="1"/>
    </xf>
    <xf numFmtId="166" fontId="19" fillId="0" borderId="3" xfId="0" applyNumberFormat="1" applyFont="1" applyBorder="1" applyAlignment="1">
      <alignment horizontal="center" vertical="center" wrapText="1"/>
    </xf>
    <xf numFmtId="165" fontId="17" fillId="0" borderId="6" xfId="0" applyNumberFormat="1" applyFont="1" applyBorder="1" applyAlignment="1">
      <alignment horizontal="center" vertical="center" wrapText="1"/>
    </xf>
    <xf numFmtId="164" fontId="17" fillId="0" borderId="1" xfId="0" applyNumberFormat="1" applyFont="1" applyBorder="1" applyAlignment="1">
      <alignment horizontal="center" vertical="center" wrapText="1"/>
    </xf>
    <xf numFmtId="164" fontId="26" fillId="2" borderId="14" xfId="0" applyNumberFormat="1" applyFont="1" applyFill="1" applyBorder="1" applyAlignment="1">
      <alignment horizontal="center" vertical="center" wrapText="1"/>
    </xf>
    <xf numFmtId="0" fontId="18" fillId="0" borderId="7" xfId="0" applyFont="1" applyBorder="1" applyAlignment="1">
      <alignment horizontal="left" wrapText="1"/>
    </xf>
    <xf numFmtId="164" fontId="17" fillId="0" borderId="7" xfId="0" applyNumberFormat="1" applyFont="1" applyBorder="1" applyAlignment="1">
      <alignment vertical="center" wrapText="1"/>
    </xf>
    <xf numFmtId="164" fontId="17" fillId="0" borderId="18" xfId="0" applyNumberFormat="1" applyFont="1" applyBorder="1" applyAlignment="1">
      <alignment vertical="center" wrapText="1"/>
    </xf>
    <xf numFmtId="164" fontId="18" fillId="2" borderId="13" xfId="0" applyNumberFormat="1" applyFont="1" applyFill="1" applyBorder="1" applyAlignment="1">
      <alignment vertical="center" wrapText="1"/>
    </xf>
    <xf numFmtId="164" fontId="18" fillId="2" borderId="7" xfId="0" applyNumberFormat="1" applyFont="1" applyFill="1" applyBorder="1" applyAlignment="1">
      <alignment vertical="center" wrapText="1"/>
    </xf>
    <xf numFmtId="164" fontId="18" fillId="2" borderId="20" xfId="0" applyNumberFormat="1" applyFont="1" applyFill="1" applyBorder="1" applyAlignment="1">
      <alignment horizontal="justify" vertical="center" wrapText="1"/>
    </xf>
    <xf numFmtId="164" fontId="18" fillId="2" borderId="22" xfId="0" applyNumberFormat="1" applyFont="1" applyFill="1" applyBorder="1" applyAlignment="1">
      <alignment horizontal="justify" vertical="center" wrapText="1"/>
    </xf>
    <xf numFmtId="164" fontId="18" fillId="2" borderId="0" xfId="0" applyNumberFormat="1" applyFont="1" applyFill="1" applyAlignment="1">
      <alignment horizontal="justify" vertical="center" wrapText="1"/>
    </xf>
    <xf numFmtId="164" fontId="18" fillId="2" borderId="7" xfId="0" applyNumberFormat="1" applyFont="1" applyFill="1" applyBorder="1" applyAlignment="1">
      <alignment horizontal="justify" vertical="center" wrapText="1"/>
    </xf>
    <xf numFmtId="164" fontId="18" fillId="2" borderId="31" xfId="0" applyNumberFormat="1" applyFont="1" applyFill="1" applyBorder="1" applyAlignment="1">
      <alignment horizontal="justify" vertical="center" wrapText="1"/>
    </xf>
    <xf numFmtId="0" fontId="34" fillId="0" borderId="21" xfId="0" applyFont="1" applyBorder="1" applyAlignment="1">
      <alignment vertical="center" wrapText="1"/>
    </xf>
    <xf numFmtId="2" fontId="25" fillId="0" borderId="0" xfId="0" applyNumberFormat="1" applyFont="1"/>
    <xf numFmtId="164" fontId="27" fillId="3" borderId="7" xfId="0" applyNumberFormat="1" applyFont="1" applyFill="1" applyBorder="1" applyAlignment="1">
      <alignment horizontal="center" vertical="center" wrapText="1"/>
    </xf>
    <xf numFmtId="164" fontId="27" fillId="3" borderId="4" xfId="0" applyNumberFormat="1" applyFont="1" applyFill="1" applyBorder="1" applyAlignment="1">
      <alignment horizontal="center" vertical="center" wrapText="1"/>
    </xf>
    <xf numFmtId="164" fontId="37" fillId="0" borderId="6" xfId="0" applyNumberFormat="1" applyFont="1" applyBorder="1" applyAlignment="1">
      <alignment horizontal="center" vertical="center" wrapText="1"/>
    </xf>
    <xf numFmtId="164" fontId="37" fillId="0" borderId="1" xfId="0" applyNumberFormat="1" applyFont="1" applyBorder="1" applyAlignment="1">
      <alignment horizontal="center" vertical="center" wrapText="1"/>
    </xf>
    <xf numFmtId="10" fontId="37" fillId="0" borderId="1" xfId="0" applyNumberFormat="1" applyFont="1" applyBorder="1" applyAlignment="1">
      <alignment horizontal="center" vertical="center" wrapText="1"/>
    </xf>
    <xf numFmtId="164" fontId="32" fillId="0" borderId="2" xfId="0" applyNumberFormat="1" applyFont="1" applyBorder="1" applyAlignment="1">
      <alignment horizontal="center" vertical="center" wrapText="1"/>
    </xf>
    <xf numFmtId="10" fontId="32" fillId="0" borderId="2" xfId="0" applyNumberFormat="1" applyFont="1" applyBorder="1" applyAlignment="1">
      <alignment horizontal="center" vertical="center" wrapText="1"/>
    </xf>
    <xf numFmtId="164" fontId="32" fillId="0" borderId="8" xfId="0" applyNumberFormat="1" applyFont="1" applyBorder="1" applyAlignment="1">
      <alignment horizontal="center" vertical="center" wrapText="1"/>
    </xf>
    <xf numFmtId="10" fontId="32" fillId="0" borderId="12" xfId="0" applyNumberFormat="1" applyFont="1" applyBorder="1" applyAlignment="1">
      <alignment horizontal="center" vertical="center" wrapText="1"/>
    </xf>
    <xf numFmtId="164" fontId="37" fillId="0" borderId="10" xfId="0" applyNumberFormat="1" applyFont="1" applyBorder="1" applyAlignment="1">
      <alignment horizontal="center" vertical="center" wrapText="1"/>
    </xf>
    <xf numFmtId="10" fontId="37" fillId="0" borderId="15" xfId="0" applyNumberFormat="1" applyFont="1" applyBorder="1" applyAlignment="1">
      <alignment horizontal="center" vertical="center" wrapText="1"/>
    </xf>
    <xf numFmtId="10" fontId="32" fillId="0" borderId="3" xfId="0" applyNumberFormat="1" applyFont="1" applyBorder="1" applyAlignment="1">
      <alignment horizontal="center" vertical="center" wrapText="1"/>
    </xf>
    <xf numFmtId="164" fontId="32" fillId="0" borderId="7" xfId="0" applyNumberFormat="1" applyFont="1" applyBorder="1" applyAlignment="1">
      <alignment horizontal="center" vertical="center" wrapText="1"/>
    </xf>
    <xf numFmtId="10" fontId="32" fillId="0" borderId="4" xfId="0" applyNumberFormat="1" applyFont="1" applyBorder="1" applyAlignment="1">
      <alignment horizontal="center" vertical="center" wrapText="1"/>
    </xf>
    <xf numFmtId="10" fontId="32" fillId="0" borderId="5" xfId="0" applyNumberFormat="1" applyFont="1" applyBorder="1" applyAlignment="1">
      <alignment horizontal="center" vertical="center" wrapText="1"/>
    </xf>
    <xf numFmtId="10" fontId="32" fillId="0" borderId="14" xfId="0" applyNumberFormat="1" applyFont="1" applyBorder="1" applyAlignment="1">
      <alignment horizontal="center" vertical="center" wrapText="1"/>
    </xf>
    <xf numFmtId="164" fontId="37" fillId="0" borderId="15" xfId="0" applyNumberFormat="1" applyFont="1" applyBorder="1" applyAlignment="1">
      <alignment horizontal="center" vertical="center" wrapText="1"/>
    </xf>
    <xf numFmtId="10" fontId="37" fillId="0" borderId="10" xfId="0" applyNumberFormat="1" applyFont="1" applyBorder="1" applyAlignment="1">
      <alignment horizontal="center" vertical="center" wrapText="1"/>
    </xf>
    <xf numFmtId="10" fontId="32" fillId="2" borderId="3" xfId="0" applyNumberFormat="1" applyFont="1" applyFill="1" applyBorder="1" applyAlignment="1">
      <alignment horizontal="center" vertical="center" wrapText="1"/>
    </xf>
    <xf numFmtId="10" fontId="32" fillId="2" borderId="4" xfId="0" applyNumberFormat="1" applyFont="1" applyFill="1" applyBorder="1" applyAlignment="1">
      <alignment horizontal="center" vertical="center" wrapText="1"/>
    </xf>
    <xf numFmtId="164" fontId="32" fillId="0" borderId="19" xfId="0" applyNumberFormat="1" applyFont="1" applyBorder="1" applyAlignment="1">
      <alignment horizontal="center" vertical="center" wrapText="1"/>
    </xf>
    <xf numFmtId="10" fontId="32" fillId="0" borderId="19" xfId="0" applyNumberFormat="1" applyFont="1" applyBorder="1" applyAlignment="1">
      <alignment horizontal="center" vertical="center" wrapText="1"/>
    </xf>
    <xf numFmtId="164" fontId="32" fillId="2" borderId="5" xfId="0" applyNumberFormat="1" applyFont="1" applyFill="1" applyBorder="1" applyAlignment="1">
      <alignment horizontal="center" vertical="center" wrapText="1"/>
    </xf>
    <xf numFmtId="10" fontId="32" fillId="2" borderId="5" xfId="0" applyNumberFormat="1" applyFont="1" applyFill="1" applyBorder="1" applyAlignment="1">
      <alignment horizontal="center" vertical="center" wrapText="1"/>
    </xf>
    <xf numFmtId="164" fontId="32" fillId="0" borderId="14" xfId="0" applyNumberFormat="1" applyFont="1" applyBorder="1" applyAlignment="1">
      <alignment horizontal="center" vertical="center" wrapText="1"/>
    </xf>
    <xf numFmtId="164" fontId="18" fillId="2" borderId="14" xfId="0" applyNumberFormat="1" applyFont="1" applyFill="1" applyBorder="1" applyAlignment="1">
      <alignment horizontal="center" vertical="center" wrapText="1"/>
    </xf>
    <xf numFmtId="10" fontId="18" fillId="2" borderId="14" xfId="0" applyNumberFormat="1" applyFont="1" applyFill="1" applyBorder="1" applyAlignment="1">
      <alignment horizontal="center" vertical="center" wrapText="1"/>
    </xf>
    <xf numFmtId="164" fontId="32" fillId="2" borderId="14" xfId="0" applyNumberFormat="1" applyFont="1" applyFill="1" applyBorder="1" applyAlignment="1">
      <alignment horizontal="center" vertical="center" wrapText="1"/>
    </xf>
    <xf numFmtId="10" fontId="32" fillId="2" borderId="14" xfId="0" applyNumberFormat="1" applyFont="1" applyFill="1" applyBorder="1" applyAlignment="1">
      <alignment horizontal="center" vertical="center" wrapText="1"/>
    </xf>
    <xf numFmtId="164" fontId="32" fillId="2" borderId="7" xfId="0" applyNumberFormat="1" applyFont="1" applyFill="1" applyBorder="1" applyAlignment="1">
      <alignment horizontal="center" vertical="center" wrapText="1"/>
    </xf>
    <xf numFmtId="10" fontId="32" fillId="2" borderId="7" xfId="0" applyNumberFormat="1" applyFont="1" applyFill="1" applyBorder="1" applyAlignment="1">
      <alignment horizontal="center" vertical="center" wrapText="1"/>
    </xf>
    <xf numFmtId="164" fontId="32" fillId="2" borderId="13" xfId="0" applyNumberFormat="1" applyFont="1" applyFill="1" applyBorder="1" applyAlignment="1">
      <alignment horizontal="center" vertical="center" wrapText="1"/>
    </xf>
    <xf numFmtId="10" fontId="32" fillId="2" borderId="13" xfId="0" applyNumberFormat="1" applyFont="1" applyFill="1" applyBorder="1" applyAlignment="1">
      <alignment horizontal="center" vertical="center" wrapText="1"/>
    </xf>
    <xf numFmtId="164" fontId="32" fillId="0" borderId="12" xfId="0" applyNumberFormat="1" applyFont="1" applyBorder="1" applyAlignment="1">
      <alignment horizontal="center" vertical="center" wrapText="1"/>
    </xf>
    <xf numFmtId="164" fontId="18" fillId="0" borderId="2" xfId="0" applyNumberFormat="1" applyFont="1" applyBorder="1" applyAlignment="1">
      <alignment horizontal="center" vertical="center" wrapText="1"/>
    </xf>
    <xf numFmtId="10" fontId="18" fillId="0" borderId="2" xfId="0" applyNumberFormat="1" applyFont="1" applyBorder="1" applyAlignment="1">
      <alignment horizontal="center" vertical="center" wrapText="1"/>
    </xf>
    <xf numFmtId="164" fontId="38" fillId="3" borderId="7" xfId="0" applyNumberFormat="1" applyFont="1" applyFill="1" applyBorder="1" applyAlignment="1">
      <alignment horizontal="center" vertical="center" wrapText="1"/>
    </xf>
    <xf numFmtId="10" fontId="38" fillId="3" borderId="7" xfId="0" applyNumberFormat="1" applyFont="1" applyFill="1" applyBorder="1" applyAlignment="1">
      <alignment horizontal="center" vertical="center" wrapText="1"/>
    </xf>
    <xf numFmtId="166" fontId="18" fillId="0" borderId="14" xfId="0" applyNumberFormat="1" applyFont="1" applyBorder="1" applyAlignment="1">
      <alignment horizontal="center" vertical="center" wrapText="1"/>
    </xf>
    <xf numFmtId="10" fontId="18" fillId="0" borderId="14" xfId="0" applyNumberFormat="1" applyFont="1" applyBorder="1" applyAlignment="1">
      <alignment horizontal="center" vertical="center" wrapText="1"/>
    </xf>
    <xf numFmtId="164" fontId="18" fillId="0" borderId="7" xfId="0" applyNumberFormat="1" applyFont="1" applyBorder="1" applyAlignment="1">
      <alignment horizontal="center" vertical="center" wrapText="1"/>
    </xf>
    <xf numFmtId="10" fontId="18" fillId="0" borderId="7" xfId="0" applyNumberFormat="1" applyFont="1" applyBorder="1" applyAlignment="1">
      <alignment horizontal="center" vertical="center" wrapText="1"/>
    </xf>
    <xf numFmtId="10" fontId="37" fillId="0" borderId="6" xfId="0" applyNumberFormat="1" applyFont="1" applyBorder="1" applyAlignment="1">
      <alignment horizontal="center" vertical="center" wrapText="1"/>
    </xf>
    <xf numFmtId="164" fontId="32" fillId="0" borderId="6" xfId="0" applyNumberFormat="1" applyFont="1" applyBorder="1" applyAlignment="1">
      <alignment horizontal="center" vertical="center" wrapText="1"/>
    </xf>
    <xf numFmtId="10" fontId="32" fillId="0" borderId="6" xfId="0" applyNumberFormat="1" applyFont="1" applyBorder="1" applyAlignment="1">
      <alignment horizontal="center" vertical="center" wrapText="1"/>
    </xf>
    <xf numFmtId="164" fontId="36" fillId="0" borderId="15" xfId="0" applyNumberFormat="1" applyFont="1" applyBorder="1" applyAlignment="1">
      <alignment horizontal="center" vertical="center" wrapText="1"/>
    </xf>
    <xf numFmtId="10" fontId="36" fillId="0" borderId="15" xfId="0" applyNumberFormat="1" applyFont="1" applyBorder="1" applyAlignment="1">
      <alignment horizontal="center" vertical="center" wrapText="1"/>
    </xf>
    <xf numFmtId="164" fontId="36" fillId="2" borderId="15" xfId="0" applyNumberFormat="1" applyFont="1" applyFill="1" applyBorder="1" applyAlignment="1">
      <alignment horizontal="center" vertical="center" wrapText="1"/>
    </xf>
    <xf numFmtId="10" fontId="36" fillId="2" borderId="15" xfId="0" applyNumberFormat="1" applyFont="1" applyFill="1" applyBorder="1" applyAlignment="1">
      <alignment horizontal="center" vertical="center" wrapText="1"/>
    </xf>
    <xf numFmtId="164" fontId="36" fillId="0" borderId="10" xfId="0" applyNumberFormat="1" applyFont="1" applyBorder="1" applyAlignment="1">
      <alignment horizontal="center" vertical="center" wrapText="1"/>
    </xf>
    <xf numFmtId="10" fontId="36" fillId="0" borderId="10" xfId="0" applyNumberFormat="1" applyFont="1" applyBorder="1" applyAlignment="1">
      <alignment horizontal="center" vertical="center" wrapText="1"/>
    </xf>
    <xf numFmtId="164" fontId="36" fillId="0" borderId="6" xfId="0" applyNumberFormat="1" applyFont="1" applyBorder="1" applyAlignment="1">
      <alignment horizontal="center" vertical="center" wrapText="1"/>
    </xf>
    <xf numFmtId="10" fontId="36" fillId="0" borderId="6" xfId="0" applyNumberFormat="1" applyFont="1" applyBorder="1" applyAlignment="1">
      <alignment horizontal="center" vertical="center" wrapText="1"/>
    </xf>
    <xf numFmtId="0" fontId="17" fillId="0" borderId="0" xfId="0" applyFont="1" applyAlignment="1">
      <alignment horizontal="right"/>
    </xf>
    <xf numFmtId="0" fontId="24" fillId="0" borderId="0" xfId="0" applyFont="1" applyAlignment="1">
      <alignment horizontal="left"/>
    </xf>
    <xf numFmtId="0" fontId="7" fillId="0" borderId="0" xfId="0" applyFont="1"/>
    <xf numFmtId="0" fontId="19" fillId="0" borderId="33" xfId="0" applyFont="1" applyBorder="1" applyAlignment="1">
      <alignment horizontal="center"/>
    </xf>
    <xf numFmtId="164" fontId="19" fillId="0" borderId="7" xfId="0" applyNumberFormat="1" applyFont="1" applyBorder="1"/>
    <xf numFmtId="0" fontId="17" fillId="0" borderId="34" xfId="0" applyFont="1" applyBorder="1"/>
    <xf numFmtId="0" fontId="39" fillId="0" borderId="34" xfId="0" applyFont="1" applyBorder="1" applyAlignment="1">
      <alignment wrapText="1"/>
    </xf>
    <xf numFmtId="0" fontId="17" fillId="0" borderId="34" xfId="0" applyFont="1" applyBorder="1" applyAlignment="1">
      <alignment wrapText="1"/>
    </xf>
    <xf numFmtId="0" fontId="17" fillId="0" borderId="32" xfId="0" applyFont="1" applyBorder="1"/>
    <xf numFmtId="0" fontId="19" fillId="0" borderId="31" xfId="0" applyFont="1" applyBorder="1"/>
    <xf numFmtId="164" fontId="7" fillId="0" borderId="35" xfId="0" applyNumberFormat="1" applyFont="1" applyBorder="1"/>
    <xf numFmtId="0" fontId="17" fillId="0" borderId="37" xfId="0" applyFont="1" applyBorder="1" applyAlignment="1">
      <alignment wrapText="1"/>
    </xf>
    <xf numFmtId="0" fontId="17" fillId="0" borderId="38" xfId="0" applyFont="1" applyBorder="1"/>
    <xf numFmtId="0" fontId="19" fillId="0" borderId="7" xfId="0" applyFont="1" applyBorder="1"/>
    <xf numFmtId="0" fontId="7" fillId="0" borderId="22" xfId="0" applyFont="1" applyBorder="1"/>
    <xf numFmtId="0" fontId="19" fillId="0" borderId="39" xfId="0" applyFont="1" applyBorder="1" applyAlignment="1">
      <alignment horizontal="center"/>
    </xf>
    <xf numFmtId="0" fontId="7" fillId="0" borderId="20" xfId="0" applyFont="1" applyBorder="1"/>
    <xf numFmtId="164" fontId="19" fillId="0" borderId="20" xfId="0" applyNumberFormat="1" applyFont="1" applyBorder="1"/>
    <xf numFmtId="164" fontId="7" fillId="0" borderId="40" xfId="0" applyNumberFormat="1" applyFont="1" applyBorder="1"/>
    <xf numFmtId="164" fontId="7" fillId="0" borderId="34" xfId="0" applyNumberFormat="1" applyFont="1" applyBorder="1"/>
    <xf numFmtId="164" fontId="17" fillId="0" borderId="34" xfId="0" applyNumberFormat="1" applyFont="1" applyBorder="1" applyAlignment="1">
      <alignment horizontal="right" vertical="center" wrapText="1"/>
    </xf>
    <xf numFmtId="164" fontId="7" fillId="0" borderId="41" xfId="0" applyNumberFormat="1" applyFont="1" applyBorder="1"/>
    <xf numFmtId="164" fontId="17" fillId="0" borderId="40" xfId="0" applyNumberFormat="1" applyFont="1" applyBorder="1"/>
    <xf numFmtId="164" fontId="17" fillId="0" borderId="41" xfId="0" applyNumberFormat="1" applyFont="1" applyBorder="1"/>
    <xf numFmtId="164" fontId="19" fillId="0" borderId="31" xfId="0" applyNumberFormat="1" applyFont="1" applyBorder="1"/>
    <xf numFmtId="0" fontId="6" fillId="0" borderId="3" xfId="0" applyFont="1" applyBorder="1" applyAlignment="1">
      <alignment horizontal="center"/>
    </xf>
    <xf numFmtId="0" fontId="23" fillId="0" borderId="4" xfId="0" applyFont="1" applyBorder="1"/>
    <xf numFmtId="164" fontId="19" fillId="0" borderId="4" xfId="0" applyNumberFormat="1" applyFont="1" applyBorder="1"/>
    <xf numFmtId="164" fontId="7" fillId="0" borderId="42" xfId="0" applyNumberFormat="1" applyFont="1" applyBorder="1"/>
    <xf numFmtId="164" fontId="7" fillId="0" borderId="43" xfId="0" applyNumberFormat="1" applyFont="1" applyBorder="1"/>
    <xf numFmtId="164" fontId="23" fillId="0" borderId="43" xfId="0" applyNumberFormat="1" applyFont="1" applyBorder="1"/>
    <xf numFmtId="164" fontId="7" fillId="0" borderId="44" xfId="0" applyNumberFormat="1" applyFont="1" applyBorder="1"/>
    <xf numFmtId="164" fontId="19" fillId="0" borderId="5" xfId="0" applyNumberFormat="1" applyFont="1" applyBorder="1"/>
    <xf numFmtId="0" fontId="19" fillId="0" borderId="2" xfId="0" applyFont="1" applyBorder="1" applyAlignment="1">
      <alignment horizontal="center"/>
    </xf>
    <xf numFmtId="0" fontId="23" fillId="0" borderId="7" xfId="0" applyFont="1" applyBorder="1"/>
    <xf numFmtId="164" fontId="7" fillId="0" borderId="36" xfId="0" applyNumberFormat="1" applyFont="1" applyBorder="1"/>
    <xf numFmtId="164" fontId="23" fillId="0" borderId="36" xfId="0" applyNumberFormat="1" applyFont="1" applyBorder="1"/>
    <xf numFmtId="164" fontId="7" fillId="0" borderId="45" xfId="0" applyNumberFormat="1" applyFont="1" applyBorder="1"/>
    <xf numFmtId="164" fontId="19" fillId="0" borderId="8" xfId="0" applyNumberFormat="1" applyFont="1" applyBorder="1"/>
    <xf numFmtId="165" fontId="25" fillId="0" borderId="0" xfId="0" applyNumberFormat="1" applyFont="1" applyAlignment="1">
      <alignment horizontal="left"/>
    </xf>
    <xf numFmtId="0" fontId="19" fillId="0" borderId="0" xfId="0" applyFont="1"/>
    <xf numFmtId="164" fontId="19" fillId="0" borderId="0" xfId="0" applyNumberFormat="1" applyFont="1"/>
    <xf numFmtId="49" fontId="43" fillId="0" borderId="46" xfId="1" applyNumberFormat="1" applyFont="1" applyBorder="1" applyAlignment="1" applyProtection="1">
      <alignment horizontal="left" vertical="center" wrapText="1"/>
    </xf>
    <xf numFmtId="49" fontId="42" fillId="0" borderId="46" xfId="1" applyNumberFormat="1" applyFont="1" applyBorder="1" applyAlignment="1" applyProtection="1">
      <alignment horizontal="left" vertical="center" wrapText="1"/>
    </xf>
    <xf numFmtId="0" fontId="42" fillId="0" borderId="24" xfId="1" applyFont="1" applyBorder="1" applyAlignment="1" applyProtection="1">
      <alignment horizontal="left" vertical="center" wrapText="1"/>
    </xf>
    <xf numFmtId="0" fontId="42" fillId="0" borderId="46" xfId="1" applyFont="1" applyBorder="1" applyAlignment="1" applyProtection="1">
      <alignment horizontal="left" vertical="center" wrapText="1"/>
    </xf>
    <xf numFmtId="0" fontId="43" fillId="0" borderId="46" xfId="1" applyFont="1" applyBorder="1" applyAlignment="1" applyProtection="1">
      <alignment horizontal="left" vertical="center" wrapText="1"/>
    </xf>
    <xf numFmtId="49" fontId="42" fillId="0" borderId="30" xfId="1" applyNumberFormat="1" applyFont="1" applyBorder="1" applyAlignment="1" applyProtection="1">
      <alignment horizontal="left" vertical="center" wrapText="1"/>
    </xf>
    <xf numFmtId="0" fontId="7" fillId="0" borderId="36" xfId="0" applyFont="1" applyBorder="1"/>
    <xf numFmtId="0" fontId="40" fillId="2" borderId="36" xfId="1" applyFont="1" applyFill="1" applyBorder="1" applyAlignment="1" applyProtection="1">
      <alignment vertical="center" wrapText="1"/>
    </xf>
    <xf numFmtId="49" fontId="40" fillId="0" borderId="36" xfId="1" applyNumberFormat="1" applyFont="1" applyBorder="1" applyAlignment="1" applyProtection="1">
      <alignment vertical="center" wrapText="1"/>
    </xf>
    <xf numFmtId="49" fontId="41" fillId="2" borderId="36" xfId="1" applyNumberFormat="1" applyFont="1" applyFill="1" applyBorder="1" applyAlignment="1" applyProtection="1">
      <alignment vertical="center" wrapText="1"/>
    </xf>
    <xf numFmtId="0" fontId="41" fillId="2" borderId="36" xfId="1" applyFont="1" applyFill="1" applyBorder="1" applyAlignment="1" applyProtection="1">
      <alignment vertical="center" wrapText="1"/>
    </xf>
    <xf numFmtId="0" fontId="41" fillId="2" borderId="36" xfId="1" applyFont="1" applyFill="1" applyBorder="1" applyAlignment="1" applyProtection="1">
      <alignment horizontal="left" vertical="center" wrapText="1"/>
    </xf>
    <xf numFmtId="0" fontId="40" fillId="2" borderId="47" xfId="1" applyFont="1" applyFill="1" applyBorder="1" applyAlignment="1" applyProtection="1">
      <alignment vertical="top" wrapText="1"/>
    </xf>
    <xf numFmtId="0" fontId="7" fillId="0" borderId="47" xfId="0" applyFont="1" applyBorder="1"/>
    <xf numFmtId="164" fontId="7" fillId="0" borderId="47" xfId="0" applyNumberFormat="1" applyFont="1" applyBorder="1"/>
    <xf numFmtId="0" fontId="6" fillId="0" borderId="10" xfId="0" applyFont="1" applyBorder="1" applyAlignment="1">
      <alignment vertical="center"/>
    </xf>
    <xf numFmtId="0" fontId="19" fillId="0" borderId="10" xfId="0" applyFont="1" applyBorder="1" applyAlignment="1">
      <alignment horizontal="center"/>
    </xf>
    <xf numFmtId="0" fontId="6" fillId="0" borderId="10" xfId="0" applyFont="1" applyBorder="1" applyAlignment="1">
      <alignment horizontal="center"/>
    </xf>
    <xf numFmtId="0" fontId="40" fillId="2" borderId="47" xfId="1" applyFont="1" applyFill="1" applyBorder="1" applyAlignment="1" applyProtection="1">
      <alignment vertical="center" wrapText="1"/>
    </xf>
    <xf numFmtId="0" fontId="40" fillId="2" borderId="48" xfId="1" applyFont="1" applyFill="1" applyBorder="1" applyAlignment="1" applyProtection="1">
      <alignment vertical="center" wrapText="1"/>
    </xf>
    <xf numFmtId="0" fontId="7" fillId="0" borderId="48" xfId="0" applyFont="1" applyBorder="1"/>
    <xf numFmtId="164" fontId="7" fillId="0" borderId="48" xfId="0" applyNumberFormat="1" applyFont="1" applyBorder="1"/>
    <xf numFmtId="0" fontId="6" fillId="0" borderId="10" xfId="0" applyFont="1" applyBorder="1"/>
    <xf numFmtId="0" fontId="19" fillId="0" borderId="9" xfId="0" applyFont="1" applyBorder="1" applyAlignment="1">
      <alignment horizontal="center"/>
    </xf>
    <xf numFmtId="0" fontId="7" fillId="0" borderId="9" xfId="0" applyFont="1" applyBorder="1" applyAlignment="1">
      <alignment horizontal="right"/>
    </xf>
    <xf numFmtId="0" fontId="34" fillId="0" borderId="49" xfId="0" applyFont="1" applyBorder="1" applyAlignment="1">
      <alignment vertical="center" wrapText="1"/>
    </xf>
    <xf numFmtId="0" fontId="31" fillId="0" borderId="10" xfId="0" applyFont="1" applyBorder="1" applyAlignment="1">
      <alignment vertical="center" wrapText="1"/>
    </xf>
    <xf numFmtId="0" fontId="8" fillId="2" borderId="9"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6" fillId="0" borderId="0" xfId="0" applyFont="1" applyAlignment="1">
      <alignment horizontal="center" vertical="center"/>
    </xf>
    <xf numFmtId="0" fontId="6" fillId="2" borderId="17"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0" borderId="17" xfId="0" applyFont="1" applyBorder="1" applyAlignment="1">
      <alignment horizontal="center" vertical="center" wrapText="1"/>
    </xf>
    <xf numFmtId="0" fontId="6" fillId="0" borderId="6" xfId="0" applyFont="1" applyBorder="1" applyAlignment="1">
      <alignment horizontal="center" vertical="center" wrapText="1"/>
    </xf>
    <xf numFmtId="164" fontId="6" fillId="0" borderId="17" xfId="0" applyNumberFormat="1" applyFont="1" applyBorder="1" applyAlignment="1">
      <alignment horizontal="center" vertical="center" wrapText="1"/>
    </xf>
    <xf numFmtId="164" fontId="6" fillId="0" borderId="6" xfId="0" applyNumberFormat="1" applyFont="1" applyBorder="1" applyAlignment="1">
      <alignment horizontal="center" vertical="center" wrapText="1"/>
    </xf>
    <xf numFmtId="0" fontId="8" fillId="0" borderId="9" xfId="0" applyFont="1" applyBorder="1" applyAlignment="1">
      <alignment horizontal="center" vertical="center" wrapText="1"/>
    </xf>
    <xf numFmtId="0" fontId="8" fillId="0" borderId="6" xfId="0" applyFont="1" applyBorder="1" applyAlignment="1">
      <alignment horizontal="center" vertical="center" wrapText="1"/>
    </xf>
    <xf numFmtId="164" fontId="19" fillId="0" borderId="17" xfId="0" applyNumberFormat="1" applyFont="1" applyBorder="1" applyAlignment="1">
      <alignment horizontal="center" vertical="center" wrapText="1"/>
    </xf>
    <xf numFmtId="164" fontId="19" fillId="0" borderId="6" xfId="0" applyNumberFormat="1" applyFont="1" applyBorder="1" applyAlignment="1">
      <alignment horizontal="center" vertical="center" wrapText="1"/>
    </xf>
    <xf numFmtId="0" fontId="19" fillId="2" borderId="17"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19" fillId="0" borderId="17" xfId="0" applyFont="1" applyBorder="1" applyAlignment="1">
      <alignment horizontal="center" vertical="center" wrapText="1"/>
    </xf>
    <xf numFmtId="0" fontId="19" fillId="0" borderId="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9" xfId="0" applyFont="1" applyBorder="1" applyAlignment="1">
      <alignment horizontal="center" vertical="center" wrapText="1"/>
    </xf>
    <xf numFmtId="0" fontId="19" fillId="0" borderId="0" xfId="0" applyFont="1" applyAlignment="1">
      <alignment horizontal="center" vertical="center"/>
    </xf>
    <xf numFmtId="0" fontId="30" fillId="0" borderId="6" xfId="0" applyFont="1" applyBorder="1" applyAlignment="1">
      <alignment horizontal="center" vertical="center" wrapText="1"/>
    </xf>
    <xf numFmtId="166" fontId="19" fillId="0" borderId="17" xfId="0" applyNumberFormat="1" applyFont="1" applyBorder="1" applyAlignment="1">
      <alignment horizontal="center" vertical="center" wrapText="1"/>
    </xf>
    <xf numFmtId="166" fontId="19" fillId="0" borderId="6" xfId="0" applyNumberFormat="1" applyFont="1" applyBorder="1" applyAlignment="1">
      <alignment horizontal="center" vertical="center" wrapText="1"/>
    </xf>
    <xf numFmtId="164" fontId="37" fillId="0" borderId="17" xfId="0" applyNumberFormat="1" applyFont="1" applyBorder="1" applyAlignment="1">
      <alignment horizontal="center" vertical="center" wrapText="1"/>
    </xf>
    <xf numFmtId="164" fontId="37" fillId="0" borderId="6" xfId="0" applyNumberFormat="1" applyFont="1" applyBorder="1" applyAlignment="1">
      <alignment horizontal="center" vertical="center" wrapText="1"/>
    </xf>
    <xf numFmtId="165" fontId="19" fillId="0" borderId="17" xfId="0" applyNumberFormat="1" applyFont="1" applyBorder="1" applyAlignment="1">
      <alignment horizontal="center" vertical="center" wrapText="1"/>
    </xf>
    <xf numFmtId="165" fontId="19" fillId="0" borderId="6" xfId="0" applyNumberFormat="1" applyFont="1" applyBorder="1" applyAlignment="1">
      <alignment horizontal="center" vertical="center" wrapText="1"/>
    </xf>
    <xf numFmtId="0" fontId="19" fillId="0" borderId="0" xfId="0" applyFont="1" applyAlignment="1">
      <alignment horizontal="center"/>
    </xf>
    <xf numFmtId="164" fontId="6" fillId="3" borderId="17" xfId="0" applyNumberFormat="1" applyFont="1" applyFill="1" applyBorder="1" applyAlignment="1">
      <alignment horizontal="center" vertical="center" wrapText="1"/>
    </xf>
    <xf numFmtId="164" fontId="6" fillId="3" borderId="6" xfId="0" applyNumberFormat="1" applyFont="1" applyFill="1" applyBorder="1" applyAlignment="1">
      <alignment horizontal="center" vertical="center" wrapText="1"/>
    </xf>
  </cellXfs>
  <cellStyles count="4">
    <cellStyle name="Įprastas" xfId="0" builtinId="0"/>
    <cellStyle name="Įprastas 2" xfId="1" xr:uid="{00000000-0005-0000-0000-000000000000}"/>
    <cellStyle name="Įprastas 3" xfId="2" xr:uid="{00000000-0005-0000-0000-000001000000}"/>
    <cellStyle name="Įprastas 3 2" xfId="3"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08"/>
  <sheetViews>
    <sheetView topLeftCell="A38" zoomScale="120" zoomScaleNormal="120" workbookViewId="0">
      <selection activeCell="C83" sqref="C83"/>
    </sheetView>
  </sheetViews>
  <sheetFormatPr defaultRowHeight="14.6" x14ac:dyDescent="0.4"/>
  <cols>
    <col min="1" max="1" width="8" style="6" customWidth="1"/>
    <col min="2" max="2" width="82.15234375" customWidth="1"/>
    <col min="3" max="3" width="24.15234375" customWidth="1"/>
  </cols>
  <sheetData>
    <row r="1" spans="1:3" x14ac:dyDescent="0.4">
      <c r="C1" s="15" t="s">
        <v>54</v>
      </c>
    </row>
    <row r="2" spans="1:3" x14ac:dyDescent="0.4">
      <c r="C2" s="90" t="s">
        <v>129</v>
      </c>
    </row>
    <row r="3" spans="1:3" ht="19.5" customHeight="1" x14ac:dyDescent="0.4">
      <c r="C3" s="90" t="s">
        <v>134</v>
      </c>
    </row>
    <row r="4" spans="1:3" ht="12" customHeight="1" x14ac:dyDescent="0.4">
      <c r="C4" s="90" t="s">
        <v>128</v>
      </c>
    </row>
    <row r="5" spans="1:3" ht="12" customHeight="1" x14ac:dyDescent="0.4">
      <c r="C5" s="90" t="s">
        <v>55</v>
      </c>
    </row>
    <row r="6" spans="1:3" ht="35.25" customHeight="1" x14ac:dyDescent="0.4">
      <c r="A6" s="475" t="s">
        <v>122</v>
      </c>
      <c r="B6" s="475"/>
      <c r="C6" s="475"/>
    </row>
    <row r="7" spans="1:3" ht="35.25" customHeight="1" thickBot="1" x14ac:dyDescent="0.45">
      <c r="A7" s="106"/>
      <c r="B7" s="106"/>
      <c r="C7" s="97" t="s">
        <v>74</v>
      </c>
    </row>
    <row r="8" spans="1:3" s="32" customFormat="1" ht="29.25" customHeight="1" x14ac:dyDescent="0.5">
      <c r="A8" s="476" t="s">
        <v>0</v>
      </c>
      <c r="B8" s="478" t="s">
        <v>1</v>
      </c>
      <c r="C8" s="480" t="s">
        <v>135</v>
      </c>
    </row>
    <row r="9" spans="1:3" ht="46.4" customHeight="1" thickBot="1" x14ac:dyDescent="0.45">
      <c r="A9" s="477"/>
      <c r="B9" s="479"/>
      <c r="C9" s="481"/>
    </row>
    <row r="10" spans="1:3" ht="34.5" customHeight="1" thickBot="1" x14ac:dyDescent="0.45">
      <c r="A10" s="30" t="s">
        <v>2</v>
      </c>
      <c r="B10" s="31" t="s">
        <v>3</v>
      </c>
      <c r="C10" s="41">
        <f>SUM(C11,C13,C17)</f>
        <v>15089</v>
      </c>
    </row>
    <row r="11" spans="1:3" ht="33" customHeight="1" thickBot="1" x14ac:dyDescent="0.45">
      <c r="A11" s="27" t="s">
        <v>4</v>
      </c>
      <c r="B11" s="28" t="s">
        <v>5</v>
      </c>
      <c r="C11" s="42">
        <f>SUM(C12:C12)</f>
        <v>14949</v>
      </c>
    </row>
    <row r="12" spans="1:3" ht="22.4" customHeight="1" x14ac:dyDescent="0.4">
      <c r="A12" s="7" t="s">
        <v>6</v>
      </c>
      <c r="B12" s="2" t="s">
        <v>5</v>
      </c>
      <c r="C12" s="43">
        <v>14949</v>
      </c>
    </row>
    <row r="13" spans="1:3" ht="22.4" customHeight="1" thickBot="1" x14ac:dyDescent="0.45">
      <c r="A13" s="58" t="s">
        <v>7</v>
      </c>
      <c r="B13" s="1" t="s">
        <v>8</v>
      </c>
      <c r="C13" s="44">
        <f>SUM(C14:C16)</f>
        <v>118</v>
      </c>
    </row>
    <row r="14" spans="1:3" ht="26.15" customHeight="1" x14ac:dyDescent="0.4">
      <c r="A14" s="7" t="s">
        <v>9</v>
      </c>
      <c r="B14" s="3" t="s">
        <v>10</v>
      </c>
      <c r="C14" s="45">
        <v>11</v>
      </c>
    </row>
    <row r="15" spans="1:3" ht="33.75" customHeight="1" x14ac:dyDescent="0.4">
      <c r="A15" s="9" t="s">
        <v>11</v>
      </c>
      <c r="B15" s="4" t="s">
        <v>13</v>
      </c>
      <c r="C15" s="71">
        <v>2</v>
      </c>
    </row>
    <row r="16" spans="1:3" ht="30.75" customHeight="1" thickBot="1" x14ac:dyDescent="0.45">
      <c r="A16" s="10" t="s">
        <v>81</v>
      </c>
      <c r="B16" s="5" t="s">
        <v>12</v>
      </c>
      <c r="C16" s="46">
        <v>105</v>
      </c>
    </row>
    <row r="17" spans="1:3" ht="30" customHeight="1" thickBot="1" x14ac:dyDescent="0.45">
      <c r="A17" s="58" t="s">
        <v>14</v>
      </c>
      <c r="B17" s="1" t="s">
        <v>15</v>
      </c>
      <c r="C17" s="44">
        <f>SUM(C18:C18)</f>
        <v>22</v>
      </c>
    </row>
    <row r="18" spans="1:3" ht="29.25" customHeight="1" thickBot="1" x14ac:dyDescent="0.45">
      <c r="A18" s="7" t="s">
        <v>16</v>
      </c>
      <c r="B18" s="3" t="s">
        <v>17</v>
      </c>
      <c r="C18" s="45">
        <v>22</v>
      </c>
    </row>
    <row r="19" spans="1:3" s="34" customFormat="1" ht="30.65" customHeight="1" thickBot="1" x14ac:dyDescent="0.45">
      <c r="A19" s="33" t="s">
        <v>20</v>
      </c>
      <c r="B19" s="25" t="s">
        <v>85</v>
      </c>
      <c r="C19" s="48">
        <f>SUM(C20,C72)</f>
        <v>11480.529</v>
      </c>
    </row>
    <row r="20" spans="1:3" ht="33.75" customHeight="1" x14ac:dyDescent="0.4">
      <c r="A20" s="19" t="s">
        <v>21</v>
      </c>
      <c r="B20" s="20" t="s">
        <v>57</v>
      </c>
      <c r="C20" s="49">
        <f>SUM(C22,C44,C45:C45,C46,C48,C50,C69,C70)</f>
        <v>8826.241</v>
      </c>
    </row>
    <row r="21" spans="1:3" ht="23.25" customHeight="1" x14ac:dyDescent="0.4">
      <c r="A21" s="22" t="s">
        <v>58</v>
      </c>
      <c r="B21" s="23" t="s">
        <v>59</v>
      </c>
      <c r="C21" s="50">
        <f>SUM(C22,C44,C45)</f>
        <v>7547.2780000000002</v>
      </c>
    </row>
    <row r="22" spans="1:3" ht="27.75" customHeight="1" x14ac:dyDescent="0.4">
      <c r="A22" s="9" t="s">
        <v>60</v>
      </c>
      <c r="B22" s="12" t="s">
        <v>22</v>
      </c>
      <c r="C22" s="71">
        <f>SUM(C23:C43)</f>
        <v>1642.7780000000002</v>
      </c>
    </row>
    <row r="23" spans="1:3" ht="27.75" customHeight="1" x14ac:dyDescent="0.4">
      <c r="A23" s="16"/>
      <c r="B23" s="18" t="s">
        <v>23</v>
      </c>
      <c r="C23" s="51">
        <v>0.1</v>
      </c>
    </row>
    <row r="24" spans="1:3" ht="32.15" customHeight="1" x14ac:dyDescent="0.4">
      <c r="A24" s="11"/>
      <c r="B24" s="4" t="s">
        <v>98</v>
      </c>
      <c r="C24" s="76">
        <v>13.1</v>
      </c>
    </row>
    <row r="25" spans="1:3" ht="25.5" customHeight="1" x14ac:dyDescent="0.4">
      <c r="A25" s="11"/>
      <c r="B25" s="4" t="s">
        <v>24</v>
      </c>
      <c r="C25" s="76">
        <v>18.34</v>
      </c>
    </row>
    <row r="26" spans="1:3" ht="21" customHeight="1" x14ac:dyDescent="0.4">
      <c r="A26" s="11"/>
      <c r="B26" s="12" t="s">
        <v>25</v>
      </c>
      <c r="C26" s="71">
        <v>115.4</v>
      </c>
    </row>
    <row r="27" spans="1:3" ht="23.25" customHeight="1" x14ac:dyDescent="0.4">
      <c r="A27" s="11"/>
      <c r="B27" s="12" t="s">
        <v>56</v>
      </c>
      <c r="C27" s="71">
        <v>2.2999999999999998</v>
      </c>
    </row>
    <row r="28" spans="1:3" ht="23.25" customHeight="1" x14ac:dyDescent="0.4">
      <c r="A28" s="11"/>
      <c r="B28" s="12" t="s">
        <v>26</v>
      </c>
      <c r="C28" s="71">
        <v>335.6</v>
      </c>
    </row>
    <row r="29" spans="1:3" ht="26.15" customHeight="1" x14ac:dyDescent="0.4">
      <c r="A29" s="11"/>
      <c r="B29" s="12" t="s">
        <v>27</v>
      </c>
      <c r="C29" s="71">
        <v>679</v>
      </c>
    </row>
    <row r="30" spans="1:3" ht="22.5" customHeight="1" x14ac:dyDescent="0.4">
      <c r="A30" s="11"/>
      <c r="B30" s="4" t="s">
        <v>96</v>
      </c>
      <c r="C30" s="71">
        <v>16</v>
      </c>
    </row>
    <row r="31" spans="1:3" ht="22.5" customHeight="1" x14ac:dyDescent="0.4">
      <c r="A31" s="11"/>
      <c r="B31" s="4" t="s">
        <v>99</v>
      </c>
      <c r="C31" s="71">
        <v>181</v>
      </c>
    </row>
    <row r="32" spans="1:3" ht="27" customHeight="1" x14ac:dyDescent="0.4">
      <c r="A32" s="11"/>
      <c r="B32" s="4" t="s">
        <v>61</v>
      </c>
      <c r="C32" s="76">
        <v>167.5</v>
      </c>
    </row>
    <row r="33" spans="1:3" ht="25.5" customHeight="1" x14ac:dyDescent="0.4">
      <c r="A33" s="11"/>
      <c r="B33" s="4" t="s">
        <v>79</v>
      </c>
      <c r="C33" s="76">
        <v>1.7</v>
      </c>
    </row>
    <row r="34" spans="1:3" ht="25.5" customHeight="1" x14ac:dyDescent="0.4">
      <c r="A34" s="11"/>
      <c r="B34" s="4" t="s">
        <v>28</v>
      </c>
      <c r="C34" s="71">
        <v>24.8</v>
      </c>
    </row>
    <row r="35" spans="1:3" ht="35.25" customHeight="1" x14ac:dyDescent="0.4">
      <c r="A35" s="11"/>
      <c r="B35" s="4" t="s">
        <v>29</v>
      </c>
      <c r="C35" s="71">
        <v>18.600000000000001</v>
      </c>
    </row>
    <row r="36" spans="1:3" ht="24.75" customHeight="1" x14ac:dyDescent="0.4">
      <c r="A36" s="11"/>
      <c r="B36" s="4" t="s">
        <v>30</v>
      </c>
      <c r="C36" s="71">
        <v>0.3</v>
      </c>
    </row>
    <row r="37" spans="1:3" ht="30.9" x14ac:dyDescent="0.4">
      <c r="A37" s="11"/>
      <c r="B37" s="4" t="s">
        <v>32</v>
      </c>
      <c r="C37" s="71">
        <v>4</v>
      </c>
    </row>
    <row r="38" spans="1:3" ht="24" customHeight="1" x14ac:dyDescent="0.4">
      <c r="A38" s="11"/>
      <c r="B38" s="4" t="s">
        <v>31</v>
      </c>
      <c r="C38" s="71">
        <v>24.2</v>
      </c>
    </row>
    <row r="39" spans="1:3" ht="32.15" customHeight="1" x14ac:dyDescent="0.4">
      <c r="A39" s="11"/>
      <c r="B39" s="4" t="s">
        <v>33</v>
      </c>
      <c r="C39" s="76">
        <v>1.45</v>
      </c>
    </row>
    <row r="40" spans="1:3" ht="21" customHeight="1" x14ac:dyDescent="0.4">
      <c r="A40" s="11"/>
      <c r="B40" s="4" t="s">
        <v>34</v>
      </c>
      <c r="C40" s="76">
        <v>6.1</v>
      </c>
    </row>
    <row r="41" spans="1:3" ht="29.25" customHeight="1" x14ac:dyDescent="0.4">
      <c r="A41" s="11"/>
      <c r="B41" s="4" t="s">
        <v>109</v>
      </c>
      <c r="C41" s="76">
        <v>1.0820000000000001</v>
      </c>
    </row>
    <row r="42" spans="1:3" ht="29.25" customHeight="1" x14ac:dyDescent="0.4">
      <c r="A42" s="11"/>
      <c r="B42" s="4" t="s">
        <v>35</v>
      </c>
      <c r="C42" s="71">
        <v>9.4</v>
      </c>
    </row>
    <row r="43" spans="1:3" ht="49" customHeight="1" x14ac:dyDescent="0.4">
      <c r="A43" s="17"/>
      <c r="B43" s="4" t="s">
        <v>116</v>
      </c>
      <c r="C43" s="102">
        <v>22.806000000000001</v>
      </c>
    </row>
    <row r="44" spans="1:3" ht="36" customHeight="1" x14ac:dyDescent="0.4">
      <c r="A44" s="17" t="s">
        <v>62</v>
      </c>
      <c r="B44" s="38" t="s">
        <v>97</v>
      </c>
      <c r="C44" s="51">
        <v>5876.9</v>
      </c>
    </row>
    <row r="45" spans="1:3" ht="36" customHeight="1" thickBot="1" x14ac:dyDescent="0.45">
      <c r="A45" s="9" t="s">
        <v>63</v>
      </c>
      <c r="B45" s="37" t="s">
        <v>37</v>
      </c>
      <c r="C45" s="71">
        <v>27.6</v>
      </c>
    </row>
    <row r="46" spans="1:3" s="34" customFormat="1" ht="48.65" customHeight="1" thickBot="1" x14ac:dyDescent="0.45">
      <c r="A46" s="67" t="s">
        <v>64</v>
      </c>
      <c r="B46" s="68" t="s">
        <v>95</v>
      </c>
      <c r="C46" s="103">
        <v>252.46199999999999</v>
      </c>
    </row>
    <row r="47" spans="1:3" s="34" customFormat="1" ht="28.5" customHeight="1" thickBot="1" x14ac:dyDescent="0.45">
      <c r="A47" s="21"/>
      <c r="B47" s="79" t="s">
        <v>78</v>
      </c>
      <c r="C47" s="64">
        <v>8.08</v>
      </c>
    </row>
    <row r="48" spans="1:3" s="34" customFormat="1" ht="47.15" hidden="1" customHeight="1" thickBot="1" x14ac:dyDescent="0.45">
      <c r="A48" s="21" t="s">
        <v>75</v>
      </c>
      <c r="B48" s="77" t="s">
        <v>108</v>
      </c>
      <c r="C48" s="52">
        <f>SUM(C49)</f>
        <v>0</v>
      </c>
    </row>
    <row r="49" spans="1:3" s="34" customFormat="1" ht="28.5" hidden="1" customHeight="1" thickBot="1" x14ac:dyDescent="0.45">
      <c r="A49" s="21"/>
      <c r="B49" s="78" t="s">
        <v>84</v>
      </c>
      <c r="C49" s="95">
        <v>0</v>
      </c>
    </row>
    <row r="50" spans="1:3" s="34" customFormat="1" ht="28.5" customHeight="1" thickBot="1" x14ac:dyDescent="0.45">
      <c r="A50" s="21" t="s">
        <v>75</v>
      </c>
      <c r="B50" s="63" t="s">
        <v>107</v>
      </c>
      <c r="C50" s="104">
        <f>SUM(C53:C68)</f>
        <v>930.50099999999998</v>
      </c>
    </row>
    <row r="51" spans="1:3" s="34" customFormat="1" ht="77.5" hidden="1" customHeight="1" x14ac:dyDescent="0.4">
      <c r="A51" s="60"/>
      <c r="B51" s="61" t="s">
        <v>80</v>
      </c>
      <c r="C51" s="62"/>
    </row>
    <row r="52" spans="1:3" s="34" customFormat="1" ht="28.5" hidden="1" customHeight="1" x14ac:dyDescent="0.4">
      <c r="A52" s="24"/>
      <c r="B52" s="61" t="s">
        <v>83</v>
      </c>
      <c r="C52" s="65"/>
    </row>
    <row r="53" spans="1:3" s="29" customFormat="1" ht="53.5" customHeight="1" x14ac:dyDescent="0.45">
      <c r="A53" s="482"/>
      <c r="B53" s="66" t="s">
        <v>115</v>
      </c>
      <c r="C53" s="99">
        <v>56.6</v>
      </c>
    </row>
    <row r="54" spans="1:3" s="29" customFormat="1" ht="27" customHeight="1" x14ac:dyDescent="0.45">
      <c r="A54" s="482"/>
      <c r="B54" s="66" t="s">
        <v>117</v>
      </c>
      <c r="C54" s="99">
        <v>97.8</v>
      </c>
    </row>
    <row r="55" spans="1:3" s="29" customFormat="1" ht="36.65" customHeight="1" x14ac:dyDescent="0.45">
      <c r="A55" s="482"/>
      <c r="B55" s="66" t="s">
        <v>126</v>
      </c>
      <c r="C55" s="99">
        <v>7.5359999999999996</v>
      </c>
    </row>
    <row r="56" spans="1:3" s="29" customFormat="1" ht="37.4" customHeight="1" x14ac:dyDescent="0.45">
      <c r="A56" s="482"/>
      <c r="B56" s="66" t="s">
        <v>118</v>
      </c>
      <c r="C56" s="99">
        <v>21.277999999999999</v>
      </c>
    </row>
    <row r="57" spans="1:3" s="29" customFormat="1" ht="45" customHeight="1" x14ac:dyDescent="0.45">
      <c r="A57" s="482"/>
      <c r="B57" s="66" t="s">
        <v>120</v>
      </c>
      <c r="C57" s="99">
        <v>14</v>
      </c>
    </row>
    <row r="58" spans="1:3" s="29" customFormat="1" ht="45" customHeight="1" x14ac:dyDescent="0.45">
      <c r="A58" s="482"/>
      <c r="B58" s="66" t="s">
        <v>121</v>
      </c>
      <c r="C58" s="99">
        <v>7.5</v>
      </c>
    </row>
    <row r="59" spans="1:3" s="29" customFormat="1" ht="45" customHeight="1" x14ac:dyDescent="0.45">
      <c r="A59" s="482"/>
      <c r="B59" s="66" t="s">
        <v>123</v>
      </c>
      <c r="C59" s="99">
        <v>11</v>
      </c>
    </row>
    <row r="60" spans="1:3" s="29" customFormat="1" ht="45" customHeight="1" x14ac:dyDescent="0.45">
      <c r="A60" s="482"/>
      <c r="B60" s="66" t="s">
        <v>125</v>
      </c>
      <c r="C60" s="99">
        <v>14.95</v>
      </c>
    </row>
    <row r="61" spans="1:3" s="29" customFormat="1" ht="60" customHeight="1" x14ac:dyDescent="0.45">
      <c r="A61" s="482"/>
      <c r="B61" s="66" t="s">
        <v>119</v>
      </c>
      <c r="C61" s="105">
        <v>3.5579999999999998</v>
      </c>
    </row>
    <row r="62" spans="1:3" s="29" customFormat="1" ht="39" customHeight="1" x14ac:dyDescent="0.45">
      <c r="A62" s="482"/>
      <c r="B62" s="66" t="s">
        <v>132</v>
      </c>
      <c r="C62" s="105">
        <v>613.5</v>
      </c>
    </row>
    <row r="63" spans="1:3" ht="60" customHeight="1" x14ac:dyDescent="0.4">
      <c r="A63" s="482"/>
      <c r="B63" s="66" t="s">
        <v>133</v>
      </c>
      <c r="C63" s="105">
        <v>1.038</v>
      </c>
    </row>
    <row r="64" spans="1:3" s="29" customFormat="1" ht="40" customHeight="1" x14ac:dyDescent="0.45">
      <c r="A64" s="482"/>
      <c r="B64" s="66" t="s">
        <v>131</v>
      </c>
      <c r="C64" s="105">
        <v>30.024000000000001</v>
      </c>
    </row>
    <row r="65" spans="1:3" s="29" customFormat="1" ht="40" customHeight="1" x14ac:dyDescent="0.45">
      <c r="A65" s="482"/>
      <c r="B65" s="66" t="s">
        <v>136</v>
      </c>
      <c r="C65" s="105">
        <v>4.8099999999999996</v>
      </c>
    </row>
    <row r="66" spans="1:3" s="29" customFormat="1" ht="40" customHeight="1" x14ac:dyDescent="0.45">
      <c r="A66" s="482"/>
      <c r="B66" s="66" t="s">
        <v>137</v>
      </c>
      <c r="C66" s="105">
        <v>3.5049999999999999</v>
      </c>
    </row>
    <row r="67" spans="1:3" s="29" customFormat="1" ht="40" customHeight="1" x14ac:dyDescent="0.45">
      <c r="A67" s="482"/>
      <c r="B67" s="66" t="s">
        <v>138</v>
      </c>
      <c r="C67" s="105">
        <v>30.032</v>
      </c>
    </row>
    <row r="68" spans="1:3" s="29" customFormat="1" ht="39" customHeight="1" thickBot="1" x14ac:dyDescent="0.5">
      <c r="A68" s="483"/>
      <c r="B68" s="66" t="s">
        <v>127</v>
      </c>
      <c r="C68" s="109">
        <v>13.37</v>
      </c>
    </row>
    <row r="69" spans="1:3" s="34" customFormat="1" ht="48" customHeight="1" thickBot="1" x14ac:dyDescent="0.45">
      <c r="A69" s="67" t="s">
        <v>100</v>
      </c>
      <c r="B69" s="56" t="s">
        <v>73</v>
      </c>
      <c r="C69" s="91">
        <v>96</v>
      </c>
    </row>
    <row r="70" spans="1:3" ht="9" hidden="1" customHeight="1" x14ac:dyDescent="0.4">
      <c r="A70" s="84" t="s">
        <v>104</v>
      </c>
      <c r="B70" s="89" t="s">
        <v>101</v>
      </c>
      <c r="C70" s="86">
        <f>SUM(C71)</f>
        <v>0</v>
      </c>
    </row>
    <row r="71" spans="1:3" ht="9" hidden="1" customHeight="1" thickBot="1" x14ac:dyDescent="0.45">
      <c r="A71" s="21"/>
      <c r="B71" s="92" t="s">
        <v>103</v>
      </c>
      <c r="C71" s="65"/>
    </row>
    <row r="72" spans="1:3" s="32" customFormat="1" ht="20.5" customHeight="1" thickBot="1" x14ac:dyDescent="0.55000000000000004">
      <c r="A72" s="13" t="s">
        <v>36</v>
      </c>
      <c r="B72" s="35" t="s">
        <v>130</v>
      </c>
      <c r="C72" s="40">
        <f>SUM(C73,C74,C76,C80,C81)</f>
        <v>2654.288</v>
      </c>
    </row>
    <row r="73" spans="1:3" ht="29.5" customHeight="1" thickBot="1" x14ac:dyDescent="0.45">
      <c r="A73" s="82" t="s">
        <v>65</v>
      </c>
      <c r="B73" s="83" t="s">
        <v>94</v>
      </c>
      <c r="C73" s="107">
        <v>101.90600000000001</v>
      </c>
    </row>
    <row r="74" spans="1:3" ht="9" hidden="1" customHeight="1" x14ac:dyDescent="0.4">
      <c r="A74" s="84" t="s">
        <v>72</v>
      </c>
      <c r="B74" s="85" t="s">
        <v>108</v>
      </c>
      <c r="C74" s="86">
        <f>SUM(C75:C75)</f>
        <v>0</v>
      </c>
    </row>
    <row r="75" spans="1:3" ht="9" hidden="1" customHeight="1" thickBot="1" x14ac:dyDescent="0.45">
      <c r="A75" s="8"/>
      <c r="B75" s="73" t="s">
        <v>84</v>
      </c>
      <c r="C75" s="96"/>
    </row>
    <row r="76" spans="1:3" ht="9" hidden="1" customHeight="1" x14ac:dyDescent="0.4">
      <c r="A76" s="88" t="s">
        <v>82</v>
      </c>
      <c r="B76" s="89" t="s">
        <v>110</v>
      </c>
      <c r="C76" s="86">
        <f>SUM(C77:C79)</f>
        <v>0</v>
      </c>
    </row>
    <row r="77" spans="1:3" ht="9" hidden="1" customHeight="1" x14ac:dyDescent="0.4">
      <c r="A77" s="82"/>
      <c r="B77" s="12" t="s">
        <v>102</v>
      </c>
      <c r="C77" s="87"/>
    </row>
    <row r="78" spans="1:3" ht="9" hidden="1" customHeight="1" x14ac:dyDescent="0.4">
      <c r="A78" s="82"/>
      <c r="B78" s="12" t="s">
        <v>38</v>
      </c>
      <c r="C78" s="71"/>
    </row>
    <row r="79" spans="1:3" ht="9" hidden="1" customHeight="1" thickBot="1" x14ac:dyDescent="0.45">
      <c r="A79" s="8"/>
      <c r="B79" s="80" t="s">
        <v>103</v>
      </c>
      <c r="C79" s="74">
        <v>0</v>
      </c>
    </row>
    <row r="80" spans="1:3" ht="51.65" customHeight="1" thickBot="1" x14ac:dyDescent="0.45">
      <c r="A80" s="55" t="s">
        <v>72</v>
      </c>
      <c r="B80" s="56" t="s">
        <v>73</v>
      </c>
      <c r="C80" s="72">
        <v>810.3</v>
      </c>
    </row>
    <row r="81" spans="1:4" ht="30.65" customHeight="1" thickBot="1" x14ac:dyDescent="0.45">
      <c r="A81" s="55" t="s">
        <v>82</v>
      </c>
      <c r="B81" s="77" t="s">
        <v>107</v>
      </c>
      <c r="C81" s="72">
        <f>SUM(C82:C85)</f>
        <v>1742.0820000000001</v>
      </c>
    </row>
    <row r="82" spans="1:4" ht="43" customHeight="1" x14ac:dyDescent="0.4">
      <c r="A82" s="473"/>
      <c r="B82" s="66" t="s">
        <v>119</v>
      </c>
      <c r="C82" s="101">
        <v>285.05399999999997</v>
      </c>
    </row>
    <row r="83" spans="1:4" ht="32.5" customHeight="1" x14ac:dyDescent="0.4">
      <c r="A83" s="473"/>
      <c r="B83" s="61" t="s">
        <v>124</v>
      </c>
      <c r="C83" s="100">
        <v>1291.1980000000001</v>
      </c>
    </row>
    <row r="84" spans="1:4" ht="32.5" customHeight="1" x14ac:dyDescent="0.4">
      <c r="A84" s="473"/>
      <c r="B84" s="66" t="s">
        <v>132</v>
      </c>
      <c r="C84" s="110">
        <v>124.2</v>
      </c>
    </row>
    <row r="85" spans="1:4" ht="33.65" customHeight="1" thickBot="1" x14ac:dyDescent="0.45">
      <c r="A85" s="474"/>
      <c r="B85" s="66" t="s">
        <v>127</v>
      </c>
      <c r="C85" s="109">
        <v>41.63</v>
      </c>
    </row>
    <row r="86" spans="1:4" ht="27.75" customHeight="1" thickBot="1" x14ac:dyDescent="0.45">
      <c r="A86" s="33" t="s">
        <v>39</v>
      </c>
      <c r="B86" s="25" t="s">
        <v>40</v>
      </c>
      <c r="C86" s="48">
        <f>SUM(C87,C92,C99,C98)</f>
        <v>1734.5</v>
      </c>
    </row>
    <row r="87" spans="1:4" ht="26.25" customHeight="1" thickBot="1" x14ac:dyDescent="0.45">
      <c r="A87" s="58" t="s">
        <v>41</v>
      </c>
      <c r="B87" s="1" t="s">
        <v>42</v>
      </c>
      <c r="C87" s="44">
        <f>SUM(C88:C91)</f>
        <v>80</v>
      </c>
    </row>
    <row r="88" spans="1:4" ht="30" customHeight="1" x14ac:dyDescent="0.4">
      <c r="A88" s="7" t="s">
        <v>43</v>
      </c>
      <c r="B88" s="4" t="s">
        <v>86</v>
      </c>
      <c r="C88" s="45">
        <v>65</v>
      </c>
    </row>
    <row r="89" spans="1:4" ht="30" customHeight="1" x14ac:dyDescent="0.4">
      <c r="A89" s="9" t="s">
        <v>44</v>
      </c>
      <c r="B89" s="18" t="s">
        <v>77</v>
      </c>
      <c r="C89" s="51">
        <v>0</v>
      </c>
    </row>
    <row r="90" spans="1:4" ht="30" customHeight="1" x14ac:dyDescent="0.4">
      <c r="A90" s="9" t="s">
        <v>45</v>
      </c>
      <c r="B90" s="4" t="s">
        <v>87</v>
      </c>
      <c r="C90" s="71">
        <v>0.8</v>
      </c>
    </row>
    <row r="91" spans="1:4" ht="30" customHeight="1" thickBot="1" x14ac:dyDescent="0.45">
      <c r="A91" s="10" t="s">
        <v>46</v>
      </c>
      <c r="B91" s="5" t="s">
        <v>66</v>
      </c>
      <c r="C91" s="46">
        <v>14.2</v>
      </c>
    </row>
    <row r="92" spans="1:4" ht="27.75" customHeight="1" thickBot="1" x14ac:dyDescent="0.45">
      <c r="A92" s="57" t="s">
        <v>47</v>
      </c>
      <c r="B92" s="59" t="s">
        <v>48</v>
      </c>
      <c r="C92" s="53">
        <f>SUM(C93:C97)</f>
        <v>1614.7</v>
      </c>
      <c r="D92" s="98"/>
    </row>
    <row r="93" spans="1:4" s="32" customFormat="1" ht="27.75" customHeight="1" x14ac:dyDescent="0.5">
      <c r="A93" s="7" t="s">
        <v>49</v>
      </c>
      <c r="B93" s="2" t="s">
        <v>113</v>
      </c>
      <c r="C93" s="75">
        <v>86.6</v>
      </c>
    </row>
    <row r="94" spans="1:4" s="32" customFormat="1" ht="23.9" customHeight="1" x14ac:dyDescent="0.5">
      <c r="A94" s="9" t="s">
        <v>50</v>
      </c>
      <c r="B94" s="38" t="s">
        <v>88</v>
      </c>
      <c r="C94" s="76">
        <v>151.9</v>
      </c>
    </row>
    <row r="95" spans="1:4" s="32" customFormat="1" ht="23.9" customHeight="1" x14ac:dyDescent="0.5">
      <c r="A95" s="16" t="s">
        <v>51</v>
      </c>
      <c r="B95" s="81" t="s">
        <v>67</v>
      </c>
      <c r="C95" s="47">
        <v>719</v>
      </c>
    </row>
    <row r="96" spans="1:4" ht="29.9" customHeight="1" x14ac:dyDescent="0.4">
      <c r="A96" s="16" t="s">
        <v>89</v>
      </c>
      <c r="B96" s="4" t="s">
        <v>18</v>
      </c>
      <c r="C96" s="71">
        <v>3.2</v>
      </c>
    </row>
    <row r="97" spans="1:3" ht="23.25" customHeight="1" thickBot="1" x14ac:dyDescent="0.45">
      <c r="A97" s="10" t="s">
        <v>90</v>
      </c>
      <c r="B97" s="5" t="s">
        <v>19</v>
      </c>
      <c r="C97" s="46">
        <v>654</v>
      </c>
    </row>
    <row r="98" spans="1:3" ht="23.25" hidden="1" customHeight="1" x14ac:dyDescent="0.4">
      <c r="A98" s="58" t="s">
        <v>52</v>
      </c>
      <c r="B98" s="1" t="s">
        <v>105</v>
      </c>
      <c r="C98" s="44">
        <v>0</v>
      </c>
    </row>
    <row r="99" spans="1:3" s="54" customFormat="1" ht="27" hidden="1" customHeight="1" thickBot="1" x14ac:dyDescent="0.45">
      <c r="A99" s="58" t="s">
        <v>114</v>
      </c>
      <c r="B99" s="1" t="s">
        <v>53</v>
      </c>
      <c r="C99" s="44">
        <v>39.799999999999997</v>
      </c>
    </row>
    <row r="100" spans="1:3" ht="28.5" customHeight="1" thickBot="1" x14ac:dyDescent="0.45">
      <c r="A100" s="30" t="s">
        <v>69</v>
      </c>
      <c r="B100" s="31" t="s">
        <v>68</v>
      </c>
      <c r="C100" s="41">
        <v>60</v>
      </c>
    </row>
    <row r="101" spans="1:3" ht="15.45" x14ac:dyDescent="0.4">
      <c r="A101" s="7" t="s">
        <v>91</v>
      </c>
      <c r="B101" s="3" t="s">
        <v>92</v>
      </c>
      <c r="C101" s="93"/>
    </row>
    <row r="102" spans="1:3" ht="15.9" thickBot="1" x14ac:dyDescent="0.45">
      <c r="A102" s="8" t="s">
        <v>106</v>
      </c>
      <c r="B102" s="80" t="s">
        <v>93</v>
      </c>
      <c r="C102" s="94">
        <v>61</v>
      </c>
    </row>
    <row r="103" spans="1:3" ht="18" thickBot="1" x14ac:dyDescent="0.45">
      <c r="A103" s="14"/>
      <c r="B103" s="25" t="s">
        <v>70</v>
      </c>
      <c r="C103" s="48">
        <f>SUM(C86,C19,C10,C100)</f>
        <v>28364.029000000002</v>
      </c>
    </row>
    <row r="104" spans="1:3" ht="18" thickBot="1" x14ac:dyDescent="0.45">
      <c r="A104" s="39" t="s">
        <v>76</v>
      </c>
      <c r="B104" s="69" t="s">
        <v>111</v>
      </c>
      <c r="C104" s="44">
        <v>5952.3649999999998</v>
      </c>
    </row>
    <row r="105" spans="1:3" ht="20.149999999999999" thickBot="1" x14ac:dyDescent="0.45">
      <c r="A105" s="13"/>
      <c r="B105" s="26" t="s">
        <v>112</v>
      </c>
      <c r="C105" s="48">
        <f>SUM(C103:C104)</f>
        <v>34316.394</v>
      </c>
    </row>
    <row r="106" spans="1:3" ht="15.45" thickBot="1" x14ac:dyDescent="0.45">
      <c r="A106" s="13"/>
      <c r="B106" s="35" t="s">
        <v>71</v>
      </c>
      <c r="C106" s="40">
        <v>760.21799999999996</v>
      </c>
    </row>
    <row r="107" spans="1:3" x14ac:dyDescent="0.4">
      <c r="B107" s="36"/>
    </row>
    <row r="108" spans="1:3" x14ac:dyDescent="0.4">
      <c r="C108" s="70">
        <f>SUM(C105:C106)</f>
        <v>35076.612000000001</v>
      </c>
    </row>
  </sheetData>
  <mergeCells count="6">
    <mergeCell ref="A82:A85"/>
    <mergeCell ref="A6:C6"/>
    <mergeCell ref="A8:A9"/>
    <mergeCell ref="B8:B9"/>
    <mergeCell ref="C8:C9"/>
    <mergeCell ref="A53:A68"/>
  </mergeCells>
  <pageMargins left="0.9055118110236221" right="0.11811023622047245" top="0.55118110236220474" bottom="0.55118110236220474" header="0.31496062992125984" footer="0.31496062992125984"/>
  <pageSetup paperSize="9" scale="65" orientation="portrait" r:id="rId1"/>
  <headerFooter>
    <oddHeader>&amp;C&amp;P</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17D069-68E8-45F1-A4F7-50380176AFEB}">
  <sheetPr>
    <pageSetUpPr fitToPage="1"/>
  </sheetPr>
  <dimension ref="A1:K122"/>
  <sheetViews>
    <sheetView tabSelected="1" topLeftCell="A7" zoomScale="111" zoomScaleNormal="111" workbookViewId="0">
      <selection activeCell="J83" sqref="J83:K91"/>
    </sheetView>
  </sheetViews>
  <sheetFormatPr defaultColWidth="8.69140625" defaultRowHeight="14.6" x14ac:dyDescent="0.4"/>
  <cols>
    <col min="1" max="1" width="8" style="258" customWidth="1"/>
    <col min="2" max="2" width="51.84375" style="205" customWidth="1"/>
    <col min="3" max="3" width="20.3046875" style="205" customWidth="1"/>
    <col min="4" max="4" width="21.3046875" style="205" customWidth="1"/>
    <col min="5" max="5" width="17.15234375" style="264" hidden="1" customWidth="1"/>
    <col min="6" max="6" width="14.3828125" style="291" hidden="1" customWidth="1"/>
    <col min="7" max="7" width="22.53515625" style="205" customWidth="1"/>
    <col min="8" max="8" width="12.84375" style="205" customWidth="1"/>
    <col min="9" max="9" width="11.53515625" style="205" customWidth="1"/>
    <col min="10" max="10" width="22.15234375" style="205" customWidth="1"/>
    <col min="11" max="11" width="21.3046875" style="205" customWidth="1"/>
    <col min="12" max="16384" width="8.69140625" style="205"/>
  </cols>
  <sheetData>
    <row r="1" spans="1:11" hidden="1" x14ac:dyDescent="0.4">
      <c r="A1" s="215"/>
      <c r="B1" s="216"/>
      <c r="C1" s="216"/>
      <c r="D1" s="90"/>
      <c r="E1" s="262"/>
      <c r="F1" s="289"/>
      <c r="G1" s="90" t="s">
        <v>54</v>
      </c>
      <c r="H1" s="90"/>
      <c r="I1" s="90"/>
      <c r="J1" s="90"/>
      <c r="K1" s="90"/>
    </row>
    <row r="2" spans="1:11" x14ac:dyDescent="0.4">
      <c r="A2" s="215"/>
      <c r="B2" s="216"/>
      <c r="C2" s="216"/>
      <c r="D2" s="90"/>
      <c r="E2" s="262"/>
      <c r="F2" s="289"/>
      <c r="G2" s="90"/>
      <c r="H2" s="90"/>
      <c r="I2" s="90"/>
      <c r="J2" s="90"/>
      <c r="K2" s="90"/>
    </row>
    <row r="3" spans="1:11" x14ac:dyDescent="0.4">
      <c r="A3" s="215"/>
      <c r="B3" s="216"/>
      <c r="C3" s="216"/>
      <c r="D3" s="189"/>
      <c r="E3" s="263"/>
      <c r="F3" s="290"/>
      <c r="G3" s="189"/>
      <c r="H3" s="189"/>
      <c r="I3" s="189"/>
      <c r="J3" s="189"/>
      <c r="K3" s="189"/>
    </row>
    <row r="4" spans="1:11" ht="15" x14ac:dyDescent="0.4">
      <c r="A4" s="492" t="s">
        <v>235</v>
      </c>
      <c r="B4" s="492"/>
      <c r="C4" s="492"/>
      <c r="D4" s="492"/>
    </row>
    <row r="5" spans="1:11" ht="15.45" thickBot="1" x14ac:dyDescent="0.45">
      <c r="A5" s="217"/>
      <c r="B5" s="217"/>
      <c r="C5" s="217"/>
      <c r="D5" s="259"/>
      <c r="E5" s="265"/>
      <c r="F5" s="292"/>
      <c r="G5" s="259" t="s">
        <v>74</v>
      </c>
      <c r="H5" s="259"/>
      <c r="I5" s="259"/>
      <c r="J5" s="259" t="s">
        <v>74</v>
      </c>
      <c r="K5" s="259" t="s">
        <v>74</v>
      </c>
    </row>
    <row r="6" spans="1:11" ht="14.5" customHeight="1" x14ac:dyDescent="0.4">
      <c r="A6" s="486" t="s">
        <v>0</v>
      </c>
      <c r="B6" s="488" t="s">
        <v>1</v>
      </c>
      <c r="C6" s="484" t="s">
        <v>232</v>
      </c>
      <c r="D6" s="484" t="s">
        <v>231</v>
      </c>
      <c r="E6" s="498" t="s">
        <v>216</v>
      </c>
      <c r="F6" s="494" t="s">
        <v>217</v>
      </c>
      <c r="G6" s="484" t="s">
        <v>218</v>
      </c>
      <c r="H6" s="496" t="s">
        <v>233</v>
      </c>
      <c r="I6" s="496" t="s">
        <v>234</v>
      </c>
      <c r="J6" s="484" t="s">
        <v>219</v>
      </c>
      <c r="K6" s="484" t="s">
        <v>220</v>
      </c>
    </row>
    <row r="7" spans="1:11" ht="39" customHeight="1" thickBot="1" x14ac:dyDescent="0.45">
      <c r="A7" s="487"/>
      <c r="B7" s="489"/>
      <c r="C7" s="485"/>
      <c r="D7" s="485"/>
      <c r="E7" s="499"/>
      <c r="F7" s="495"/>
      <c r="G7" s="485"/>
      <c r="H7" s="497"/>
      <c r="I7" s="497"/>
      <c r="J7" s="485"/>
      <c r="K7" s="485"/>
    </row>
    <row r="8" spans="1:11" ht="18" thickBot="1" x14ac:dyDescent="0.45">
      <c r="A8" s="218" t="s">
        <v>2</v>
      </c>
      <c r="B8" s="219" t="s">
        <v>3</v>
      </c>
      <c r="C8" s="122">
        <f t="shared" ref="C8:K8" si="0">SUM(C9,C12,C16)</f>
        <v>24906</v>
      </c>
      <c r="D8" s="122">
        <f t="shared" si="0"/>
        <v>24920</v>
      </c>
      <c r="E8" s="267">
        <f t="shared" si="0"/>
        <v>26714.978940000001</v>
      </c>
      <c r="F8" s="294">
        <f t="shared" si="0"/>
        <v>0</v>
      </c>
      <c r="G8" s="122">
        <f t="shared" si="0"/>
        <v>27516</v>
      </c>
      <c r="H8" s="354">
        <f>G8-D8</f>
        <v>2596</v>
      </c>
      <c r="I8" s="355">
        <f t="shared" ref="I8:I20" si="1">G8/D8</f>
        <v>1.1041733547351524</v>
      </c>
      <c r="J8" s="122">
        <f t="shared" si="0"/>
        <v>29252</v>
      </c>
      <c r="K8" s="122">
        <f t="shared" si="0"/>
        <v>30793</v>
      </c>
    </row>
    <row r="9" spans="1:11" ht="22.5" customHeight="1" thickBot="1" x14ac:dyDescent="0.45">
      <c r="A9" s="220" t="s">
        <v>4</v>
      </c>
      <c r="B9" s="221" t="s">
        <v>5</v>
      </c>
      <c r="C9" s="117">
        <f t="shared" ref="C9:K9" si="2">SUM(C10:C11)</f>
        <v>24584</v>
      </c>
      <c r="D9" s="117">
        <f t="shared" si="2"/>
        <v>24584</v>
      </c>
      <c r="E9" s="268">
        <f t="shared" si="2"/>
        <v>26321.701640000003</v>
      </c>
      <c r="F9" s="295">
        <f t="shared" si="2"/>
        <v>0</v>
      </c>
      <c r="G9" s="117">
        <f t="shared" si="2"/>
        <v>27136</v>
      </c>
      <c r="H9" s="354">
        <f>G9-D9</f>
        <v>2552</v>
      </c>
      <c r="I9" s="355">
        <f t="shared" si="1"/>
        <v>1.1038073543768305</v>
      </c>
      <c r="J9" s="117">
        <f t="shared" si="2"/>
        <v>28863</v>
      </c>
      <c r="K9" s="117">
        <f t="shared" si="2"/>
        <v>30384</v>
      </c>
    </row>
    <row r="10" spans="1:11" ht="24.65" customHeight="1" x14ac:dyDescent="0.4">
      <c r="A10" s="222" t="s">
        <v>6</v>
      </c>
      <c r="B10" s="223" t="s">
        <v>139</v>
      </c>
      <c r="C10" s="201">
        <v>24575</v>
      </c>
      <c r="D10" s="201">
        <v>24575</v>
      </c>
      <c r="E10" s="327">
        <v>26309.314160000002</v>
      </c>
      <c r="F10" s="296"/>
      <c r="G10" s="201">
        <v>27126</v>
      </c>
      <c r="H10" s="356">
        <f>G10-D10</f>
        <v>2551</v>
      </c>
      <c r="I10" s="357">
        <f t="shared" si="1"/>
        <v>1.1038046795523906</v>
      </c>
      <c r="J10" s="201">
        <v>28853</v>
      </c>
      <c r="K10" s="201">
        <v>30374</v>
      </c>
    </row>
    <row r="11" spans="1:11" ht="31.3" thickBot="1" x14ac:dyDescent="0.45">
      <c r="A11" s="224" t="s">
        <v>140</v>
      </c>
      <c r="B11" s="225" t="s">
        <v>141</v>
      </c>
      <c r="C11" s="121">
        <v>9</v>
      </c>
      <c r="D11" s="121">
        <v>9</v>
      </c>
      <c r="E11" s="269">
        <v>12.38748</v>
      </c>
      <c r="F11" s="297"/>
      <c r="G11" s="121">
        <v>10</v>
      </c>
      <c r="H11" s="358">
        <f>G11-D11</f>
        <v>1</v>
      </c>
      <c r="I11" s="359">
        <f t="shared" si="1"/>
        <v>1.1111111111111112</v>
      </c>
      <c r="J11" s="121">
        <v>10</v>
      </c>
      <c r="K11" s="121">
        <v>10</v>
      </c>
    </row>
    <row r="12" spans="1:11" ht="15.45" thickBot="1" x14ac:dyDescent="0.45">
      <c r="A12" s="226" t="s">
        <v>7</v>
      </c>
      <c r="B12" s="227" t="s">
        <v>8</v>
      </c>
      <c r="C12" s="202">
        <f t="shared" ref="C12:K12" si="3">SUM(C13:C15)</f>
        <v>281</v>
      </c>
      <c r="D12" s="202">
        <f t="shared" si="3"/>
        <v>281</v>
      </c>
      <c r="E12" s="270">
        <f t="shared" si="3"/>
        <v>330.97167000000002</v>
      </c>
      <c r="F12" s="298">
        <f t="shared" si="3"/>
        <v>0</v>
      </c>
      <c r="G12" s="202">
        <f t="shared" si="3"/>
        <v>292</v>
      </c>
      <c r="H12" s="360">
        <f>G12-D12</f>
        <v>11</v>
      </c>
      <c r="I12" s="361">
        <f t="shared" si="1"/>
        <v>1.0391459074733096</v>
      </c>
      <c r="J12" s="202">
        <f t="shared" si="3"/>
        <v>302</v>
      </c>
      <c r="K12" s="202">
        <f t="shared" si="3"/>
        <v>322</v>
      </c>
    </row>
    <row r="13" spans="1:11" ht="22.5" customHeight="1" x14ac:dyDescent="0.4">
      <c r="A13" s="222" t="s">
        <v>9</v>
      </c>
      <c r="B13" s="228" t="s">
        <v>10</v>
      </c>
      <c r="C13" s="118">
        <v>13</v>
      </c>
      <c r="D13" s="118">
        <v>13</v>
      </c>
      <c r="E13" s="328">
        <v>24.460830000000001</v>
      </c>
      <c r="F13" s="299"/>
      <c r="G13" s="118">
        <v>20</v>
      </c>
      <c r="H13" s="356">
        <f t="shared" ref="H13:H18" si="4">G13-D13</f>
        <v>7</v>
      </c>
      <c r="I13" s="362">
        <f t="shared" si="1"/>
        <v>1.5384615384615385</v>
      </c>
      <c r="J13" s="118">
        <v>20</v>
      </c>
      <c r="K13" s="118">
        <v>20</v>
      </c>
    </row>
    <row r="14" spans="1:11" ht="21.65" customHeight="1" x14ac:dyDescent="0.4">
      <c r="A14" s="229" t="s">
        <v>11</v>
      </c>
      <c r="B14" s="230" t="s">
        <v>13</v>
      </c>
      <c r="C14" s="102">
        <v>4</v>
      </c>
      <c r="D14" s="102">
        <v>4</v>
      </c>
      <c r="E14" s="329">
        <v>9.2449999999999992</v>
      </c>
      <c r="F14" s="300"/>
      <c r="G14" s="102">
        <v>2</v>
      </c>
      <c r="H14" s="363">
        <f t="shared" si="4"/>
        <v>-2</v>
      </c>
      <c r="I14" s="364">
        <f t="shared" si="1"/>
        <v>0.5</v>
      </c>
      <c r="J14" s="102">
        <v>2</v>
      </c>
      <c r="K14" s="102">
        <v>2</v>
      </c>
    </row>
    <row r="15" spans="1:11" ht="22" customHeight="1" thickBot="1" x14ac:dyDescent="0.45">
      <c r="A15" s="231" t="s">
        <v>81</v>
      </c>
      <c r="B15" s="232" t="s">
        <v>12</v>
      </c>
      <c r="C15" s="119">
        <v>264</v>
      </c>
      <c r="D15" s="119">
        <v>264</v>
      </c>
      <c r="E15" s="330">
        <v>297.26584000000003</v>
      </c>
      <c r="F15" s="301"/>
      <c r="G15" s="119">
        <v>270</v>
      </c>
      <c r="H15" s="358">
        <f t="shared" si="4"/>
        <v>6</v>
      </c>
      <c r="I15" s="365">
        <f t="shared" si="1"/>
        <v>1.0227272727272727</v>
      </c>
      <c r="J15" s="119">
        <v>280</v>
      </c>
      <c r="K15" s="119">
        <v>300</v>
      </c>
    </row>
    <row r="16" spans="1:11" ht="24" customHeight="1" thickBot="1" x14ac:dyDescent="0.45">
      <c r="A16" s="220" t="s">
        <v>14</v>
      </c>
      <c r="B16" s="221" t="s">
        <v>15</v>
      </c>
      <c r="C16" s="117">
        <f t="shared" ref="C16:K16" si="5">SUM(C17:C18)</f>
        <v>41</v>
      </c>
      <c r="D16" s="117">
        <f t="shared" si="5"/>
        <v>55</v>
      </c>
      <c r="E16" s="268">
        <f t="shared" si="5"/>
        <v>62.305629999999994</v>
      </c>
      <c r="F16" s="295">
        <f t="shared" si="5"/>
        <v>0</v>
      </c>
      <c r="G16" s="117">
        <f t="shared" si="5"/>
        <v>88</v>
      </c>
      <c r="H16" s="360">
        <f>G16-D16</f>
        <v>33</v>
      </c>
      <c r="I16" s="355">
        <f t="shared" si="1"/>
        <v>1.6</v>
      </c>
      <c r="J16" s="117">
        <f t="shared" si="5"/>
        <v>87</v>
      </c>
      <c r="K16" s="117">
        <f t="shared" si="5"/>
        <v>87</v>
      </c>
    </row>
    <row r="17" spans="1:11" ht="28.75" customHeight="1" x14ac:dyDescent="0.4">
      <c r="A17" s="222" t="s">
        <v>16</v>
      </c>
      <c r="B17" s="228" t="s">
        <v>210</v>
      </c>
      <c r="C17" s="118"/>
      <c r="D17" s="118">
        <v>14</v>
      </c>
      <c r="E17" s="328">
        <v>24.700869999999998</v>
      </c>
      <c r="F17" s="299"/>
      <c r="G17" s="118">
        <v>46</v>
      </c>
      <c r="H17" s="356">
        <f t="shared" si="4"/>
        <v>32</v>
      </c>
      <c r="I17" s="362">
        <f t="shared" si="1"/>
        <v>3.2857142857142856</v>
      </c>
      <c r="J17" s="118">
        <v>46</v>
      </c>
      <c r="K17" s="118">
        <v>46</v>
      </c>
    </row>
    <row r="18" spans="1:11" ht="20.149999999999999" customHeight="1" thickBot="1" x14ac:dyDescent="0.45">
      <c r="A18" s="233" t="s">
        <v>209</v>
      </c>
      <c r="B18" s="234" t="s">
        <v>17</v>
      </c>
      <c r="C18" s="112">
        <v>41</v>
      </c>
      <c r="D18" s="112">
        <v>41</v>
      </c>
      <c r="E18" s="271">
        <v>37.604759999999999</v>
      </c>
      <c r="F18" s="302"/>
      <c r="G18" s="112">
        <v>42</v>
      </c>
      <c r="H18" s="358">
        <f t="shared" si="4"/>
        <v>1</v>
      </c>
      <c r="I18" s="366">
        <f t="shared" si="1"/>
        <v>1.024390243902439</v>
      </c>
      <c r="J18" s="112">
        <v>41</v>
      </c>
      <c r="K18" s="112">
        <v>41</v>
      </c>
    </row>
    <row r="19" spans="1:11" ht="21" customHeight="1" thickBot="1" x14ac:dyDescent="0.45">
      <c r="A19" s="235" t="s">
        <v>20</v>
      </c>
      <c r="B19" s="236" t="s">
        <v>40</v>
      </c>
      <c r="C19" s="116">
        <f t="shared" ref="C19:K19" si="6">SUM(C20,C26,C33,C32)</f>
        <v>3064</v>
      </c>
      <c r="D19" s="116">
        <f t="shared" si="6"/>
        <v>3188.8380000000002</v>
      </c>
      <c r="E19" s="272">
        <f t="shared" si="6"/>
        <v>3531.7807600000001</v>
      </c>
      <c r="F19" s="303">
        <f t="shared" si="6"/>
        <v>0</v>
      </c>
      <c r="G19" s="116">
        <f t="shared" si="6"/>
        <v>3364</v>
      </c>
      <c r="H19" s="367">
        <f>G19-D19</f>
        <v>175.16199999999981</v>
      </c>
      <c r="I19" s="361">
        <f t="shared" si="1"/>
        <v>1.0549297267531308</v>
      </c>
      <c r="J19" s="116">
        <f t="shared" si="6"/>
        <v>3519.9</v>
      </c>
      <c r="K19" s="116">
        <f t="shared" si="6"/>
        <v>3675.5</v>
      </c>
    </row>
    <row r="20" spans="1:11" ht="21.65" customHeight="1" thickBot="1" x14ac:dyDescent="0.45">
      <c r="A20" s="220" t="s">
        <v>21</v>
      </c>
      <c r="B20" s="221" t="s">
        <v>42</v>
      </c>
      <c r="C20" s="117">
        <f t="shared" ref="C20:F20" si="7">SUM(C22:C25)</f>
        <v>138</v>
      </c>
      <c r="D20" s="117">
        <f t="shared" si="7"/>
        <v>143.16800000000001</v>
      </c>
      <c r="E20" s="268">
        <f>SUM(E21:E25)</f>
        <v>327.51263</v>
      </c>
      <c r="F20" s="295">
        <f t="shared" si="7"/>
        <v>0</v>
      </c>
      <c r="G20" s="117">
        <f>SUM(G21:G25)</f>
        <v>171.7</v>
      </c>
      <c r="H20" s="354">
        <f>G20-D20</f>
        <v>28.531999999999982</v>
      </c>
      <c r="I20" s="355">
        <f t="shared" si="1"/>
        <v>1.1992903442109968</v>
      </c>
      <c r="J20" s="117">
        <f t="shared" ref="J20:K20" si="8">SUM(J21:J25)</f>
        <v>188</v>
      </c>
      <c r="K20" s="117">
        <f t="shared" si="8"/>
        <v>188</v>
      </c>
    </row>
    <row r="21" spans="1:11" ht="21.65" customHeight="1" thickBot="1" x14ac:dyDescent="0.45">
      <c r="A21" s="255"/>
      <c r="B21" s="223" t="s">
        <v>229</v>
      </c>
      <c r="C21" s="326"/>
      <c r="D21" s="326"/>
      <c r="E21" s="328">
        <v>133.42093</v>
      </c>
      <c r="F21" s="335"/>
      <c r="G21" s="118">
        <v>30.7</v>
      </c>
      <c r="H21" s="356">
        <f t="shared" ref="H21:H25" si="9">G21-D21</f>
        <v>30.7</v>
      </c>
      <c r="I21" s="362"/>
      <c r="J21" s="118">
        <v>30</v>
      </c>
      <c r="K21" s="118">
        <v>30</v>
      </c>
    </row>
    <row r="22" spans="1:11" ht="19.5" customHeight="1" x14ac:dyDescent="0.4">
      <c r="A22" s="222" t="s">
        <v>58</v>
      </c>
      <c r="B22" s="234" t="s">
        <v>86</v>
      </c>
      <c r="C22" s="112">
        <v>91</v>
      </c>
      <c r="D22" s="112">
        <v>91</v>
      </c>
      <c r="E22" s="271">
        <v>103.77601</v>
      </c>
      <c r="F22" s="302"/>
      <c r="G22" s="112">
        <v>91</v>
      </c>
      <c r="H22" s="363">
        <f t="shared" si="9"/>
        <v>0</v>
      </c>
      <c r="I22" s="366">
        <f>G22/D22</f>
        <v>1</v>
      </c>
      <c r="J22" s="112">
        <v>91</v>
      </c>
      <c r="K22" s="112">
        <v>91</v>
      </c>
    </row>
    <row r="23" spans="1:11" ht="20.149999999999999" customHeight="1" x14ac:dyDescent="0.4">
      <c r="A23" s="229" t="s">
        <v>64</v>
      </c>
      <c r="B23" s="234" t="s">
        <v>77</v>
      </c>
      <c r="C23" s="112">
        <v>30</v>
      </c>
      <c r="D23" s="112">
        <v>30</v>
      </c>
      <c r="E23" s="271">
        <v>30</v>
      </c>
      <c r="F23" s="302"/>
      <c r="G23" s="112">
        <v>30</v>
      </c>
      <c r="H23" s="363">
        <f t="shared" si="9"/>
        <v>0</v>
      </c>
      <c r="I23" s="366">
        <f t="shared" ref="I23:I25" si="10">G23/D23</f>
        <v>1</v>
      </c>
      <c r="J23" s="112">
        <v>50</v>
      </c>
      <c r="K23" s="112">
        <v>50</v>
      </c>
    </row>
    <row r="24" spans="1:11" ht="20.5" customHeight="1" x14ac:dyDescent="0.4">
      <c r="A24" s="229" t="s">
        <v>75</v>
      </c>
      <c r="B24" s="230" t="s">
        <v>87</v>
      </c>
      <c r="C24" s="102">
        <v>2.5</v>
      </c>
      <c r="D24" s="102">
        <v>2.5</v>
      </c>
      <c r="E24" s="329">
        <v>1.88049</v>
      </c>
      <c r="F24" s="300"/>
      <c r="G24" s="102">
        <v>3</v>
      </c>
      <c r="H24" s="363">
        <f t="shared" si="9"/>
        <v>0.5</v>
      </c>
      <c r="I24" s="366">
        <f t="shared" si="10"/>
        <v>1.2</v>
      </c>
      <c r="J24" s="102">
        <v>2</v>
      </c>
      <c r="K24" s="102">
        <v>2</v>
      </c>
    </row>
    <row r="25" spans="1:11" ht="21.65" customHeight="1" thickBot="1" x14ac:dyDescent="0.45">
      <c r="A25" s="231" t="s">
        <v>100</v>
      </c>
      <c r="B25" s="232" t="s">
        <v>66</v>
      </c>
      <c r="C25" s="119">
        <v>14.5</v>
      </c>
      <c r="D25" s="119">
        <v>19.667999999999999</v>
      </c>
      <c r="E25" s="330">
        <v>58.435200000000002</v>
      </c>
      <c r="F25" s="301"/>
      <c r="G25" s="119">
        <v>17</v>
      </c>
      <c r="H25" s="358">
        <f t="shared" si="9"/>
        <v>-2.6679999999999993</v>
      </c>
      <c r="I25" s="366">
        <f t="shared" si="10"/>
        <v>0.86434817978442147</v>
      </c>
      <c r="J25" s="119">
        <v>15</v>
      </c>
      <c r="K25" s="119">
        <v>15</v>
      </c>
    </row>
    <row r="26" spans="1:11" ht="20.149999999999999" customHeight="1" thickBot="1" x14ac:dyDescent="0.45">
      <c r="A26" s="237" t="s">
        <v>36</v>
      </c>
      <c r="B26" s="238" t="s">
        <v>48</v>
      </c>
      <c r="C26" s="120">
        <f t="shared" ref="C26:K26" si="11">SUM(C27:C31)</f>
        <v>2923</v>
      </c>
      <c r="D26" s="120">
        <f t="shared" si="11"/>
        <v>3042.67</v>
      </c>
      <c r="E26" s="273">
        <f t="shared" si="11"/>
        <v>3038.2833700000001</v>
      </c>
      <c r="F26" s="304">
        <f t="shared" si="11"/>
        <v>0</v>
      </c>
      <c r="G26" s="120">
        <f t="shared" si="11"/>
        <v>3180.5</v>
      </c>
      <c r="H26" s="360">
        <f>G26-D26</f>
        <v>137.82999999999993</v>
      </c>
      <c r="I26" s="368">
        <f t="shared" ref="I26:I41" si="12">G26/D26</f>
        <v>1.045299030128144</v>
      </c>
      <c r="J26" s="120">
        <f t="shared" si="11"/>
        <v>3328.1</v>
      </c>
      <c r="K26" s="120">
        <f t="shared" si="11"/>
        <v>3483.7</v>
      </c>
    </row>
    <row r="27" spans="1:11" ht="22" customHeight="1" x14ac:dyDescent="0.4">
      <c r="A27" s="222" t="s">
        <v>65</v>
      </c>
      <c r="B27" s="223" t="s">
        <v>113</v>
      </c>
      <c r="C27" s="111">
        <v>803.8</v>
      </c>
      <c r="D27" s="111">
        <v>841.64</v>
      </c>
      <c r="E27" s="331">
        <v>828.20150999999998</v>
      </c>
      <c r="F27" s="305"/>
      <c r="G27" s="111">
        <v>817.2</v>
      </c>
      <c r="H27" s="356">
        <f t="shared" ref="H27:H31" si="13">G27-D27</f>
        <v>-24.439999999999941</v>
      </c>
      <c r="I27" s="369">
        <f t="shared" si="12"/>
        <v>0.9709614562045531</v>
      </c>
      <c r="J27" s="111">
        <v>870.1</v>
      </c>
      <c r="K27" s="111">
        <v>925.8</v>
      </c>
    </row>
    <row r="28" spans="1:11" ht="30.65" customHeight="1" x14ac:dyDescent="0.4">
      <c r="A28" s="229" t="s">
        <v>72</v>
      </c>
      <c r="B28" s="239" t="s">
        <v>88</v>
      </c>
      <c r="C28" s="108">
        <v>168.3</v>
      </c>
      <c r="D28" s="108">
        <v>205.82</v>
      </c>
      <c r="E28" s="332">
        <v>198.71857</v>
      </c>
      <c r="F28" s="306"/>
      <c r="G28" s="108">
        <v>210.4</v>
      </c>
      <c r="H28" s="363">
        <f t="shared" si="13"/>
        <v>4.5800000000000125</v>
      </c>
      <c r="I28" s="370">
        <f t="shared" si="12"/>
        <v>1.0222524536002333</v>
      </c>
      <c r="J28" s="108">
        <v>212.6</v>
      </c>
      <c r="K28" s="108">
        <v>214.6</v>
      </c>
    </row>
    <row r="29" spans="1:11" ht="31.75" customHeight="1" x14ac:dyDescent="0.4">
      <c r="A29" s="224" t="s">
        <v>82</v>
      </c>
      <c r="B29" s="240" t="s">
        <v>67</v>
      </c>
      <c r="C29" s="121">
        <v>577.9</v>
      </c>
      <c r="D29" s="121">
        <v>622.21</v>
      </c>
      <c r="E29" s="269">
        <v>604.25422000000003</v>
      </c>
      <c r="F29" s="297"/>
      <c r="G29" s="121">
        <v>664.4</v>
      </c>
      <c r="H29" s="363">
        <f t="shared" si="13"/>
        <v>42.189999999999941</v>
      </c>
      <c r="I29" s="359">
        <f t="shared" si="12"/>
        <v>1.0678066890599636</v>
      </c>
      <c r="J29" s="121">
        <v>712.8</v>
      </c>
      <c r="K29" s="121">
        <v>765.6</v>
      </c>
    </row>
    <row r="30" spans="1:11" ht="20.5" customHeight="1" x14ac:dyDescent="0.4">
      <c r="A30" s="224" t="s">
        <v>142</v>
      </c>
      <c r="B30" s="230" t="s">
        <v>18</v>
      </c>
      <c r="C30" s="102">
        <v>14</v>
      </c>
      <c r="D30" s="102">
        <v>14</v>
      </c>
      <c r="E30" s="329">
        <v>29.118749999999999</v>
      </c>
      <c r="F30" s="300"/>
      <c r="G30" s="102">
        <v>13.5</v>
      </c>
      <c r="H30" s="363">
        <f t="shared" si="13"/>
        <v>-0.5</v>
      </c>
      <c r="I30" s="364">
        <f t="shared" si="12"/>
        <v>0.9642857142857143</v>
      </c>
      <c r="J30" s="102">
        <v>13.5</v>
      </c>
      <c r="K30" s="102">
        <v>13.5</v>
      </c>
    </row>
    <row r="31" spans="1:11" ht="20.5" customHeight="1" thickBot="1" x14ac:dyDescent="0.45">
      <c r="A31" s="231" t="s">
        <v>143</v>
      </c>
      <c r="B31" s="232" t="s">
        <v>19</v>
      </c>
      <c r="C31" s="119">
        <v>1359</v>
      </c>
      <c r="D31" s="119">
        <v>1359</v>
      </c>
      <c r="E31" s="330">
        <v>1377.9903200000001</v>
      </c>
      <c r="F31" s="301"/>
      <c r="G31" s="119">
        <v>1475</v>
      </c>
      <c r="H31" s="358">
        <f t="shared" si="13"/>
        <v>116</v>
      </c>
      <c r="I31" s="365">
        <f t="shared" si="12"/>
        <v>1.0853568800588669</v>
      </c>
      <c r="J31" s="119">
        <v>1519.1</v>
      </c>
      <c r="K31" s="119">
        <v>1564.2</v>
      </c>
    </row>
    <row r="32" spans="1:11" ht="22.5" customHeight="1" thickBot="1" x14ac:dyDescent="0.45">
      <c r="A32" s="220" t="s">
        <v>144</v>
      </c>
      <c r="B32" s="221" t="s">
        <v>105</v>
      </c>
      <c r="C32" s="117">
        <v>2</v>
      </c>
      <c r="D32" s="117">
        <v>2</v>
      </c>
      <c r="E32" s="268">
        <v>50.519370000000002</v>
      </c>
      <c r="F32" s="295"/>
      <c r="G32" s="117">
        <v>7</v>
      </c>
      <c r="H32" s="360">
        <f t="shared" ref="H32:H41" si="14">G32-D32</f>
        <v>5</v>
      </c>
      <c r="I32" s="355">
        <f t="shared" si="12"/>
        <v>3.5</v>
      </c>
      <c r="J32" s="117">
        <v>2</v>
      </c>
      <c r="K32" s="117">
        <v>2</v>
      </c>
    </row>
    <row r="33" spans="1:11" ht="22.5" customHeight="1" thickBot="1" x14ac:dyDescent="0.45">
      <c r="A33" s="220" t="s">
        <v>192</v>
      </c>
      <c r="B33" s="221" t="s">
        <v>53</v>
      </c>
      <c r="C33" s="117">
        <v>1</v>
      </c>
      <c r="D33" s="117">
        <v>1</v>
      </c>
      <c r="E33" s="268">
        <v>115.46539</v>
      </c>
      <c r="F33" s="295"/>
      <c r="G33" s="117">
        <v>4.8</v>
      </c>
      <c r="H33" s="354">
        <f t="shared" si="14"/>
        <v>3.8</v>
      </c>
      <c r="I33" s="355">
        <f t="shared" si="12"/>
        <v>4.8</v>
      </c>
      <c r="J33" s="117">
        <v>1.8</v>
      </c>
      <c r="K33" s="117">
        <v>1.8</v>
      </c>
    </row>
    <row r="34" spans="1:11" ht="35.6" thickBot="1" x14ac:dyDescent="0.45">
      <c r="A34" s="218" t="s">
        <v>39</v>
      </c>
      <c r="B34" s="219" t="s">
        <v>68</v>
      </c>
      <c r="C34" s="122">
        <f t="shared" ref="C34:K34" si="15">SUM(C35:C36)</f>
        <v>60</v>
      </c>
      <c r="D34" s="122">
        <f t="shared" si="15"/>
        <v>60</v>
      </c>
      <c r="E34" s="267">
        <f t="shared" si="15"/>
        <v>98.819900000000004</v>
      </c>
      <c r="F34" s="294">
        <f t="shared" si="15"/>
        <v>0</v>
      </c>
      <c r="G34" s="122">
        <f t="shared" si="15"/>
        <v>63</v>
      </c>
      <c r="H34" s="354">
        <f t="shared" si="14"/>
        <v>3</v>
      </c>
      <c r="I34" s="355">
        <f t="shared" si="12"/>
        <v>1.05</v>
      </c>
      <c r="J34" s="122">
        <f t="shared" si="15"/>
        <v>90</v>
      </c>
      <c r="K34" s="122">
        <f t="shared" si="15"/>
        <v>90</v>
      </c>
    </row>
    <row r="35" spans="1:11" ht="22" customHeight="1" x14ac:dyDescent="0.4">
      <c r="A35" s="222" t="s">
        <v>41</v>
      </c>
      <c r="B35" s="228" t="s">
        <v>92</v>
      </c>
      <c r="C35" s="123">
        <v>30</v>
      </c>
      <c r="D35" s="123">
        <v>30</v>
      </c>
      <c r="E35" s="333">
        <v>13.47</v>
      </c>
      <c r="F35" s="307"/>
      <c r="G35" s="123">
        <v>3</v>
      </c>
      <c r="H35" s="371">
        <f t="shared" si="14"/>
        <v>-27</v>
      </c>
      <c r="I35" s="372">
        <f t="shared" si="12"/>
        <v>0.1</v>
      </c>
      <c r="J35" s="123">
        <v>30</v>
      </c>
      <c r="K35" s="123">
        <v>30</v>
      </c>
    </row>
    <row r="36" spans="1:11" ht="25.5" customHeight="1" thickBot="1" x14ac:dyDescent="0.45">
      <c r="A36" s="241" t="s">
        <v>47</v>
      </c>
      <c r="B36" s="242" t="s">
        <v>93</v>
      </c>
      <c r="C36" s="124">
        <v>30</v>
      </c>
      <c r="D36" s="124">
        <v>30</v>
      </c>
      <c r="E36" s="334">
        <v>85.349900000000005</v>
      </c>
      <c r="F36" s="308"/>
      <c r="G36" s="124">
        <v>60</v>
      </c>
      <c r="H36" s="373">
        <f t="shared" si="14"/>
        <v>30</v>
      </c>
      <c r="I36" s="374">
        <f t="shared" si="12"/>
        <v>2</v>
      </c>
      <c r="J36" s="124">
        <v>60</v>
      </c>
      <c r="K36" s="124">
        <v>60</v>
      </c>
    </row>
    <row r="37" spans="1:11" ht="29.5" customHeight="1" thickBot="1" x14ac:dyDescent="0.45">
      <c r="A37" s="243"/>
      <c r="B37" s="236" t="s">
        <v>156</v>
      </c>
      <c r="C37" s="116">
        <f t="shared" ref="C37:K37" si="16">SUM(C19,C8,C34)</f>
        <v>28030</v>
      </c>
      <c r="D37" s="116">
        <f t="shared" si="16"/>
        <v>28168.838</v>
      </c>
      <c r="E37" s="272">
        <f t="shared" si="16"/>
        <v>30345.579600000001</v>
      </c>
      <c r="F37" s="303">
        <f t="shared" si="16"/>
        <v>0</v>
      </c>
      <c r="G37" s="116">
        <f t="shared" si="16"/>
        <v>30943</v>
      </c>
      <c r="H37" s="396">
        <f t="shared" si="14"/>
        <v>2774.1620000000003</v>
      </c>
      <c r="I37" s="397">
        <f t="shared" si="12"/>
        <v>1.0984833666195248</v>
      </c>
      <c r="J37" s="116">
        <f t="shared" si="16"/>
        <v>32861.9</v>
      </c>
      <c r="K37" s="116">
        <f t="shared" si="16"/>
        <v>34558.5</v>
      </c>
    </row>
    <row r="38" spans="1:11" ht="26.5" customHeight="1" thickBot="1" x14ac:dyDescent="0.45">
      <c r="A38" s="235" t="s">
        <v>69</v>
      </c>
      <c r="B38" s="236" t="s">
        <v>85</v>
      </c>
      <c r="C38" s="116">
        <f>SUM(C39,C69)</f>
        <v>13156.942999999999</v>
      </c>
      <c r="D38" s="116">
        <f>SUM(D39,D69)</f>
        <v>14877.087000000001</v>
      </c>
      <c r="E38" s="272">
        <f>SUM(E39,E69)</f>
        <v>14877.085270000001</v>
      </c>
      <c r="F38" s="303">
        <f>SUM(F39,F69)</f>
        <v>292.77459000000005</v>
      </c>
      <c r="G38" s="116">
        <f>SUM(G39,G69)</f>
        <v>15598.062000000002</v>
      </c>
      <c r="H38" s="396">
        <f t="shared" si="14"/>
        <v>720.97500000000036</v>
      </c>
      <c r="I38" s="397">
        <f t="shared" si="12"/>
        <v>1.0484621082070704</v>
      </c>
      <c r="J38" s="116">
        <f>SUM(J39,J69)</f>
        <v>15981.689</v>
      </c>
      <c r="K38" s="116">
        <f>SUM(K39,K69)</f>
        <v>16605.389000000003</v>
      </c>
    </row>
    <row r="39" spans="1:11" s="245" customFormat="1" ht="34" customHeight="1" thickBot="1" x14ac:dyDescent="0.5">
      <c r="A39" s="226" t="s">
        <v>146</v>
      </c>
      <c r="B39" s="244" t="s">
        <v>145</v>
      </c>
      <c r="C39" s="202">
        <f>SUM(C40,C63,C68)</f>
        <v>11545.689999999999</v>
      </c>
      <c r="D39" s="202">
        <f>SUM(D40,D63,D68)</f>
        <v>12117.09</v>
      </c>
      <c r="E39" s="270">
        <f>SUM(E40,E63,E68)</f>
        <v>12117.09</v>
      </c>
      <c r="F39" s="298">
        <f>SUM(F40,F63,F68)</f>
        <v>36.459960000000002</v>
      </c>
      <c r="G39" s="202">
        <f>SUM(G40,G63,G68)</f>
        <v>13197.327000000001</v>
      </c>
      <c r="H39" s="367">
        <f t="shared" si="14"/>
        <v>1080.237000000001</v>
      </c>
      <c r="I39" s="361">
        <f t="shared" si="12"/>
        <v>1.0891498701420887</v>
      </c>
      <c r="J39" s="202">
        <f>SUM(J40,J63,J68)</f>
        <v>13848.027</v>
      </c>
      <c r="K39" s="202">
        <f>SUM(K40,K63,K68)</f>
        <v>14471.727000000001</v>
      </c>
    </row>
    <row r="40" spans="1:11" ht="30.9" x14ac:dyDescent="0.4">
      <c r="A40" s="233" t="s">
        <v>149</v>
      </c>
      <c r="B40" s="239" t="s">
        <v>22</v>
      </c>
      <c r="C40" s="112">
        <f>SUM(C41:C44,C46:C57,C58:C62)</f>
        <v>2681.79</v>
      </c>
      <c r="D40" s="112">
        <f>SUM(D41:D44,D46:D57,D58:D62)</f>
        <v>2690.7900000000004</v>
      </c>
      <c r="E40" s="271">
        <f>SUM(E41:E44,E46:E57,E58:E62)</f>
        <v>2690.7900000000004</v>
      </c>
      <c r="F40" s="302">
        <f>SUM(F41:F44,F46:F57,F58:F62)</f>
        <v>36.459960000000002</v>
      </c>
      <c r="G40" s="112">
        <f>SUM(G41:G44,G46:G57,G58:G62)</f>
        <v>2617.1269999999995</v>
      </c>
      <c r="H40" s="375">
        <f t="shared" si="14"/>
        <v>-73.66300000000092</v>
      </c>
      <c r="I40" s="366">
        <f t="shared" si="12"/>
        <v>0.97262402491461586</v>
      </c>
      <c r="J40" s="112">
        <f>SUM(J41:J44,J46:J57,J58:J62)</f>
        <v>2620.8269999999993</v>
      </c>
      <c r="K40" s="112">
        <f>SUM(K41:K44,K46:K57,K58:K62)</f>
        <v>2624.5269999999996</v>
      </c>
    </row>
    <row r="41" spans="1:11" ht="30.9" x14ac:dyDescent="0.4">
      <c r="A41" s="224"/>
      <c r="B41" s="246" t="s">
        <v>147</v>
      </c>
      <c r="C41" s="203">
        <v>0.1</v>
      </c>
      <c r="D41" s="203">
        <v>0.1</v>
      </c>
      <c r="E41" s="274">
        <v>0.1</v>
      </c>
      <c r="F41" s="310">
        <v>0</v>
      </c>
      <c r="G41" s="203">
        <v>0.1</v>
      </c>
      <c r="H41" s="376">
        <f t="shared" si="14"/>
        <v>0</v>
      </c>
      <c r="I41" s="377">
        <f t="shared" si="12"/>
        <v>1</v>
      </c>
      <c r="J41" s="203">
        <v>0.1</v>
      </c>
      <c r="K41" s="203">
        <v>0.1</v>
      </c>
    </row>
    <row r="42" spans="1:11" ht="30.9" x14ac:dyDescent="0.4">
      <c r="A42" s="247"/>
      <c r="B42" s="248" t="s">
        <v>98</v>
      </c>
      <c r="C42" s="115">
        <v>7.3</v>
      </c>
      <c r="D42" s="115">
        <v>7.3</v>
      </c>
      <c r="E42" s="275">
        <v>7.3</v>
      </c>
      <c r="F42" s="310">
        <v>0</v>
      </c>
      <c r="G42" s="115">
        <v>7.3</v>
      </c>
      <c r="H42" s="376">
        <f t="shared" ref="H42:H61" si="17">G42-D42</f>
        <v>0</v>
      </c>
      <c r="I42" s="377">
        <f t="shared" ref="I42:I62" si="18">G42/D42</f>
        <v>1</v>
      </c>
      <c r="J42" s="115">
        <v>7.3</v>
      </c>
      <c r="K42" s="115">
        <v>7.3</v>
      </c>
    </row>
    <row r="43" spans="1:11" ht="15.45" x14ac:dyDescent="0.4">
      <c r="A43" s="247"/>
      <c r="B43" s="248" t="s">
        <v>24</v>
      </c>
      <c r="C43" s="115">
        <v>20</v>
      </c>
      <c r="D43" s="115">
        <v>20</v>
      </c>
      <c r="E43" s="275">
        <v>20</v>
      </c>
      <c r="F43" s="310">
        <v>0</v>
      </c>
      <c r="G43" s="115">
        <v>20</v>
      </c>
      <c r="H43" s="376">
        <f t="shared" si="17"/>
        <v>0</v>
      </c>
      <c r="I43" s="377">
        <f t="shared" si="18"/>
        <v>1</v>
      </c>
      <c r="J43" s="115">
        <v>20</v>
      </c>
      <c r="K43" s="115">
        <v>20</v>
      </c>
    </row>
    <row r="44" spans="1:11" ht="30.9" x14ac:dyDescent="0.4">
      <c r="A44" s="247"/>
      <c r="B44" s="249" t="s">
        <v>25</v>
      </c>
      <c r="C44" s="115">
        <v>169.5</v>
      </c>
      <c r="D44" s="115">
        <v>169.5</v>
      </c>
      <c r="E44" s="275">
        <v>169.5</v>
      </c>
      <c r="F44" s="309">
        <f>0.25108+5.79736</f>
        <v>6.0484400000000003</v>
      </c>
      <c r="G44" s="115">
        <f>214.3+0.9</f>
        <v>215.20000000000002</v>
      </c>
      <c r="H44" s="376">
        <f t="shared" si="17"/>
        <v>45.700000000000017</v>
      </c>
      <c r="I44" s="377">
        <f t="shared" si="18"/>
        <v>1.2696165191740414</v>
      </c>
      <c r="J44" s="115">
        <f>214.3+0.9</f>
        <v>215.20000000000002</v>
      </c>
      <c r="K44" s="115">
        <f>214.3+0.9</f>
        <v>215.20000000000002</v>
      </c>
    </row>
    <row r="45" spans="1:11" ht="61.75" x14ac:dyDescent="0.4">
      <c r="A45" s="247"/>
      <c r="B45" s="249" t="s">
        <v>289</v>
      </c>
      <c r="C45" s="115">
        <v>1.3</v>
      </c>
      <c r="D45" s="115">
        <v>1.3</v>
      </c>
      <c r="E45" s="275">
        <v>1.3</v>
      </c>
      <c r="F45" s="309">
        <v>0.83125000000000004</v>
      </c>
      <c r="G45" s="115">
        <v>0.9</v>
      </c>
      <c r="H45" s="376">
        <f t="shared" si="17"/>
        <v>-0.4</v>
      </c>
      <c r="I45" s="377">
        <f t="shared" si="18"/>
        <v>0.69230769230769229</v>
      </c>
      <c r="J45" s="115">
        <v>0.9</v>
      </c>
      <c r="K45" s="115">
        <v>0.9</v>
      </c>
    </row>
    <row r="46" spans="1:11" ht="30.9" x14ac:dyDescent="0.4">
      <c r="A46" s="247"/>
      <c r="B46" s="249" t="s">
        <v>56</v>
      </c>
      <c r="C46" s="115">
        <v>5.8</v>
      </c>
      <c r="D46" s="115">
        <v>3.9</v>
      </c>
      <c r="E46" s="275">
        <v>3.9</v>
      </c>
      <c r="F46" s="309">
        <f>2.62701+0.10508</f>
        <v>2.7320899999999999</v>
      </c>
      <c r="G46" s="115">
        <v>13.8</v>
      </c>
      <c r="H46" s="376">
        <f t="shared" si="17"/>
        <v>9.9</v>
      </c>
      <c r="I46" s="377">
        <f t="shared" si="18"/>
        <v>3.5384615384615388</v>
      </c>
      <c r="J46" s="115">
        <v>13.8</v>
      </c>
      <c r="K46" s="115">
        <v>13.8</v>
      </c>
    </row>
    <row r="47" spans="1:11" ht="15.45" x14ac:dyDescent="0.4">
      <c r="A47" s="247"/>
      <c r="B47" s="249" t="s">
        <v>26</v>
      </c>
      <c r="C47" s="115">
        <v>458.7</v>
      </c>
      <c r="D47" s="115">
        <v>405.7</v>
      </c>
      <c r="E47" s="275">
        <v>405.7</v>
      </c>
      <c r="F47" s="309">
        <v>17.937380000000001</v>
      </c>
      <c r="G47" s="115">
        <v>532.4</v>
      </c>
      <c r="H47" s="376">
        <f t="shared" si="17"/>
        <v>126.69999999999999</v>
      </c>
      <c r="I47" s="377">
        <f t="shared" si="18"/>
        <v>1.3122997288636924</v>
      </c>
      <c r="J47" s="115">
        <v>532.4</v>
      </c>
      <c r="K47" s="115">
        <v>532.4</v>
      </c>
    </row>
    <row r="48" spans="1:11" ht="15.45" x14ac:dyDescent="0.4">
      <c r="A48" s="247"/>
      <c r="B48" s="249" t="s">
        <v>27</v>
      </c>
      <c r="C48" s="115">
        <v>1545.8</v>
      </c>
      <c r="D48" s="115">
        <v>1605.1</v>
      </c>
      <c r="E48" s="275">
        <v>1605.1</v>
      </c>
      <c r="F48" s="309">
        <f>7.71727-4.30674+3.54554</f>
        <v>6.9560700000000004</v>
      </c>
      <c r="G48" s="115">
        <v>1334.1</v>
      </c>
      <c r="H48" s="376">
        <f t="shared" si="17"/>
        <v>-271</v>
      </c>
      <c r="I48" s="377">
        <f t="shared" si="18"/>
        <v>0.83116316740390006</v>
      </c>
      <c r="J48" s="115">
        <v>1334.1</v>
      </c>
      <c r="K48" s="115">
        <v>1334.1</v>
      </c>
    </row>
    <row r="49" spans="1:11" ht="15.45" x14ac:dyDescent="0.4">
      <c r="A49" s="247"/>
      <c r="B49" s="248" t="s">
        <v>96</v>
      </c>
      <c r="C49" s="115">
        <v>18.7</v>
      </c>
      <c r="D49" s="115">
        <f>4.6+18.7</f>
        <v>23.299999999999997</v>
      </c>
      <c r="E49" s="275">
        <v>23.3</v>
      </c>
      <c r="F49" s="309">
        <v>0</v>
      </c>
      <c r="G49" s="115">
        <v>18.7</v>
      </c>
      <c r="H49" s="376">
        <f t="shared" si="17"/>
        <v>-4.5999999999999979</v>
      </c>
      <c r="I49" s="377">
        <f t="shared" si="18"/>
        <v>0.80257510729613746</v>
      </c>
      <c r="J49" s="115">
        <v>18.7</v>
      </c>
      <c r="K49" s="115">
        <v>18.7</v>
      </c>
    </row>
    <row r="50" spans="1:11" ht="30.9" x14ac:dyDescent="0.4">
      <c r="A50" s="247"/>
      <c r="B50" s="248" t="s">
        <v>99</v>
      </c>
      <c r="C50" s="115">
        <v>89.5</v>
      </c>
      <c r="D50" s="115">
        <v>89.5</v>
      </c>
      <c r="E50" s="275">
        <v>89.5</v>
      </c>
      <c r="F50" s="309">
        <f>2.5633+0.10016</f>
        <v>2.6634599999999997</v>
      </c>
      <c r="G50" s="115">
        <v>93.4</v>
      </c>
      <c r="H50" s="376">
        <f t="shared" si="17"/>
        <v>3.9000000000000057</v>
      </c>
      <c r="I50" s="377">
        <f t="shared" si="18"/>
        <v>1.0435754189944135</v>
      </c>
      <c r="J50" s="115">
        <v>93.4</v>
      </c>
      <c r="K50" s="115">
        <v>93.4</v>
      </c>
    </row>
    <row r="51" spans="1:11" ht="15.45" x14ac:dyDescent="0.4">
      <c r="A51" s="247"/>
      <c r="B51" s="248" t="s">
        <v>61</v>
      </c>
      <c r="C51" s="115">
        <v>209.94</v>
      </c>
      <c r="D51" s="115">
        <v>209.94</v>
      </c>
      <c r="E51" s="275">
        <v>209.94</v>
      </c>
      <c r="F51" s="309">
        <v>0</v>
      </c>
      <c r="G51" s="115">
        <v>219.38</v>
      </c>
      <c r="H51" s="376">
        <f t="shared" si="17"/>
        <v>9.4399999999999977</v>
      </c>
      <c r="I51" s="377">
        <f t="shared" si="18"/>
        <v>1.0449652281604267</v>
      </c>
      <c r="J51" s="115">
        <v>223.08</v>
      </c>
      <c r="K51" s="115">
        <v>226.78</v>
      </c>
    </row>
    <row r="52" spans="1:11" ht="15.45" x14ac:dyDescent="0.4">
      <c r="A52" s="247"/>
      <c r="B52" s="248" t="s">
        <v>79</v>
      </c>
      <c r="C52" s="115">
        <v>1.9</v>
      </c>
      <c r="D52" s="115">
        <v>1.9</v>
      </c>
      <c r="E52" s="275">
        <v>1.9</v>
      </c>
      <c r="F52" s="309">
        <v>0.12252</v>
      </c>
      <c r="G52" s="115">
        <v>3.5</v>
      </c>
      <c r="H52" s="376">
        <f t="shared" si="17"/>
        <v>1.6</v>
      </c>
      <c r="I52" s="377">
        <f t="shared" si="18"/>
        <v>1.8421052631578949</v>
      </c>
      <c r="J52" s="115">
        <v>3.5</v>
      </c>
      <c r="K52" s="115">
        <v>3.5</v>
      </c>
    </row>
    <row r="53" spans="1:11" ht="15.45" x14ac:dyDescent="0.4">
      <c r="A53" s="247"/>
      <c r="B53" s="248" t="s">
        <v>28</v>
      </c>
      <c r="C53" s="115">
        <v>25.8</v>
      </c>
      <c r="D53" s="115">
        <v>25.8</v>
      </c>
      <c r="E53" s="275">
        <v>25.8</v>
      </c>
      <c r="F53" s="310">
        <f t="shared" ref="F53:F62" si="19">SUM(F55:F57)</f>
        <v>0</v>
      </c>
      <c r="G53" s="115">
        <v>26.3</v>
      </c>
      <c r="H53" s="376">
        <f t="shared" si="17"/>
        <v>0.5</v>
      </c>
      <c r="I53" s="377">
        <f t="shared" si="18"/>
        <v>1.0193798449612403</v>
      </c>
      <c r="J53" s="115">
        <v>26.3</v>
      </c>
      <c r="K53" s="115">
        <v>26.3</v>
      </c>
    </row>
    <row r="54" spans="1:11" ht="15.45" x14ac:dyDescent="0.4">
      <c r="A54" s="247"/>
      <c r="B54" s="248" t="s">
        <v>29</v>
      </c>
      <c r="C54" s="115">
        <v>16</v>
      </c>
      <c r="D54" s="115">
        <v>16</v>
      </c>
      <c r="E54" s="275">
        <v>16</v>
      </c>
      <c r="F54" s="310">
        <f>SUM(F56:F57)</f>
        <v>0</v>
      </c>
      <c r="G54" s="115">
        <v>11.77</v>
      </c>
      <c r="H54" s="376">
        <f t="shared" si="17"/>
        <v>-4.2300000000000004</v>
      </c>
      <c r="I54" s="377">
        <f t="shared" si="18"/>
        <v>0.73562499999999997</v>
      </c>
      <c r="J54" s="115">
        <v>11.77</v>
      </c>
      <c r="K54" s="115">
        <v>11.77</v>
      </c>
    </row>
    <row r="55" spans="1:11" ht="30.9" x14ac:dyDescent="0.4">
      <c r="A55" s="247"/>
      <c r="B55" s="248" t="s">
        <v>30</v>
      </c>
      <c r="C55" s="115">
        <v>0.4</v>
      </c>
      <c r="D55" s="115">
        <v>0.4</v>
      </c>
      <c r="E55" s="275">
        <v>0.4</v>
      </c>
      <c r="F55" s="310">
        <f>SUM(F57:F57)</f>
        <v>0</v>
      </c>
      <c r="G55" s="115">
        <v>0.36</v>
      </c>
      <c r="H55" s="376">
        <f t="shared" si="17"/>
        <v>-4.0000000000000036E-2</v>
      </c>
      <c r="I55" s="377">
        <f t="shared" si="18"/>
        <v>0.89999999999999991</v>
      </c>
      <c r="J55" s="115">
        <v>0.36</v>
      </c>
      <c r="K55" s="115">
        <v>0.36</v>
      </c>
    </row>
    <row r="56" spans="1:11" ht="46.3" x14ac:dyDescent="0.4">
      <c r="A56" s="247"/>
      <c r="B56" s="248" t="s">
        <v>32</v>
      </c>
      <c r="C56" s="115">
        <v>2.2000000000000002</v>
      </c>
      <c r="D56" s="115">
        <v>2.2000000000000002</v>
      </c>
      <c r="E56" s="275">
        <v>2.2000000000000002</v>
      </c>
      <c r="F56" s="310">
        <f>SUM(F58:F58)</f>
        <v>0</v>
      </c>
      <c r="G56" s="115">
        <v>2.2000000000000002</v>
      </c>
      <c r="H56" s="376">
        <f t="shared" si="17"/>
        <v>0</v>
      </c>
      <c r="I56" s="377">
        <f t="shared" si="18"/>
        <v>1</v>
      </c>
      <c r="J56" s="115">
        <v>2.2000000000000002</v>
      </c>
      <c r="K56" s="115">
        <v>2.2000000000000002</v>
      </c>
    </row>
    <row r="57" spans="1:11" ht="21.65" customHeight="1" x14ac:dyDescent="0.4">
      <c r="A57" s="247"/>
      <c r="B57" s="248" t="s">
        <v>31</v>
      </c>
      <c r="C57" s="115">
        <v>39.5</v>
      </c>
      <c r="D57" s="115">
        <v>39.5</v>
      </c>
      <c r="E57" s="275">
        <v>39.5</v>
      </c>
      <c r="F57" s="310">
        <f>SUM(F58:F59)</f>
        <v>0</v>
      </c>
      <c r="G57" s="115">
        <v>42</v>
      </c>
      <c r="H57" s="376">
        <f t="shared" si="17"/>
        <v>2.5</v>
      </c>
      <c r="I57" s="377">
        <f t="shared" si="18"/>
        <v>1.0632911392405062</v>
      </c>
      <c r="J57" s="115">
        <v>42</v>
      </c>
      <c r="K57" s="115">
        <v>42</v>
      </c>
    </row>
    <row r="58" spans="1:11" ht="21" customHeight="1" x14ac:dyDescent="0.4">
      <c r="A58" s="247"/>
      <c r="B58" s="248" t="s">
        <v>34</v>
      </c>
      <c r="C58" s="115">
        <v>6.9</v>
      </c>
      <c r="D58" s="115">
        <v>6.9</v>
      </c>
      <c r="E58" s="275">
        <v>6.9</v>
      </c>
      <c r="F58" s="310">
        <f t="shared" si="19"/>
        <v>0</v>
      </c>
      <c r="G58" s="115">
        <v>8.6</v>
      </c>
      <c r="H58" s="376">
        <f t="shared" si="17"/>
        <v>1.6999999999999993</v>
      </c>
      <c r="I58" s="377">
        <f t="shared" si="18"/>
        <v>1.2463768115942029</v>
      </c>
      <c r="J58" s="115">
        <v>8.6</v>
      </c>
      <c r="K58" s="115">
        <v>8.6</v>
      </c>
    </row>
    <row r="59" spans="1:11" ht="46.3" x14ac:dyDescent="0.4">
      <c r="A59" s="247"/>
      <c r="B59" s="248" t="s">
        <v>109</v>
      </c>
      <c r="C59" s="115">
        <v>1.708</v>
      </c>
      <c r="D59" s="115">
        <v>1.708</v>
      </c>
      <c r="E59" s="275">
        <v>1.708</v>
      </c>
      <c r="F59" s="310">
        <f t="shared" si="19"/>
        <v>0</v>
      </c>
      <c r="G59" s="115">
        <v>1.756</v>
      </c>
      <c r="H59" s="376">
        <f t="shared" si="17"/>
        <v>4.8000000000000043E-2</v>
      </c>
      <c r="I59" s="377">
        <f t="shared" si="18"/>
        <v>1.0281030444964872</v>
      </c>
      <c r="J59" s="115">
        <v>1.756</v>
      </c>
      <c r="K59" s="115">
        <v>1.756</v>
      </c>
    </row>
    <row r="60" spans="1:11" ht="61.75" x14ac:dyDescent="0.4">
      <c r="A60" s="247"/>
      <c r="B60" s="248" t="s">
        <v>194</v>
      </c>
      <c r="C60" s="115">
        <v>21.948</v>
      </c>
      <c r="D60" s="115">
        <v>21.948</v>
      </c>
      <c r="E60" s="275">
        <v>21.948</v>
      </c>
      <c r="F60" s="310">
        <f t="shared" si="19"/>
        <v>0</v>
      </c>
      <c r="G60" s="115">
        <v>21.948</v>
      </c>
      <c r="H60" s="376">
        <f t="shared" si="17"/>
        <v>0</v>
      </c>
      <c r="I60" s="377">
        <f t="shared" si="18"/>
        <v>1</v>
      </c>
      <c r="J60" s="115">
        <v>21.948</v>
      </c>
      <c r="K60" s="115">
        <v>21.948</v>
      </c>
    </row>
    <row r="61" spans="1:11" ht="26.15" customHeight="1" x14ac:dyDescent="0.4">
      <c r="A61" s="247"/>
      <c r="B61" s="248" t="s">
        <v>35</v>
      </c>
      <c r="C61" s="115">
        <v>10</v>
      </c>
      <c r="D61" s="115">
        <v>10</v>
      </c>
      <c r="E61" s="275">
        <v>10</v>
      </c>
      <c r="F61" s="310">
        <f t="shared" si="19"/>
        <v>0</v>
      </c>
      <c r="G61" s="115">
        <v>10</v>
      </c>
      <c r="H61" s="376">
        <f t="shared" si="17"/>
        <v>0</v>
      </c>
      <c r="I61" s="377">
        <f t="shared" si="18"/>
        <v>1</v>
      </c>
      <c r="J61" s="115">
        <v>10</v>
      </c>
      <c r="K61" s="115">
        <v>10</v>
      </c>
    </row>
    <row r="62" spans="1:11" ht="61.75" x14ac:dyDescent="0.4">
      <c r="A62" s="233"/>
      <c r="B62" s="248" t="s">
        <v>116</v>
      </c>
      <c r="C62" s="115">
        <v>30.094000000000001</v>
      </c>
      <c r="D62" s="115">
        <v>30.094000000000001</v>
      </c>
      <c r="E62" s="275">
        <v>30.094000000000001</v>
      </c>
      <c r="F62" s="310">
        <f t="shared" si="19"/>
        <v>0</v>
      </c>
      <c r="G62" s="352">
        <v>34.313000000000002</v>
      </c>
      <c r="H62" s="376">
        <f>G62-D62</f>
        <v>4.2190000000000012</v>
      </c>
      <c r="I62" s="377">
        <f t="shared" si="18"/>
        <v>1.1401940586163355</v>
      </c>
      <c r="J62" s="352">
        <v>34.313000000000002</v>
      </c>
      <c r="K62" s="352">
        <v>34.313000000000002</v>
      </c>
    </row>
    <row r="63" spans="1:11" ht="28.5" customHeight="1" x14ac:dyDescent="0.4">
      <c r="A63" s="233" t="s">
        <v>150</v>
      </c>
      <c r="B63" s="239" t="s">
        <v>181</v>
      </c>
      <c r="C63" s="157">
        <f t="shared" ref="C63:K63" si="20">SUM(C65:C67)</f>
        <v>8824.9</v>
      </c>
      <c r="D63" s="157">
        <f t="shared" si="20"/>
        <v>9387.2999999999993</v>
      </c>
      <c r="E63" s="276">
        <f t="shared" si="20"/>
        <v>9387.2999999999993</v>
      </c>
      <c r="F63" s="310">
        <f t="shared" si="20"/>
        <v>0</v>
      </c>
      <c r="G63" s="157">
        <f t="shared" si="20"/>
        <v>10540</v>
      </c>
      <c r="H63" s="378">
        <f>G63-D63</f>
        <v>1152.7000000000007</v>
      </c>
      <c r="I63" s="379">
        <f>G63/D63</f>
        <v>1.1227935615139604</v>
      </c>
      <c r="J63" s="338">
        <f t="shared" si="20"/>
        <v>11187</v>
      </c>
      <c r="K63" s="338">
        <f t="shared" si="20"/>
        <v>11807</v>
      </c>
    </row>
    <row r="64" spans="1:11" ht="28.5" hidden="1" customHeight="1" x14ac:dyDescent="0.4">
      <c r="A64" s="247"/>
      <c r="B64" s="250" t="s">
        <v>206</v>
      </c>
      <c r="C64" s="340"/>
      <c r="D64" s="212"/>
      <c r="E64" s="277"/>
      <c r="F64" s="311"/>
      <c r="G64" s="212"/>
      <c r="H64" s="380"/>
      <c r="I64" s="381"/>
      <c r="J64" s="320" t="s">
        <v>221</v>
      </c>
      <c r="K64" s="212"/>
    </row>
    <row r="65" spans="1:11" ht="28.5" hidden="1" customHeight="1" x14ac:dyDescent="0.4">
      <c r="A65" s="247"/>
      <c r="B65" s="250" t="s">
        <v>207</v>
      </c>
      <c r="C65" s="206">
        <v>8824.9</v>
      </c>
      <c r="D65" s="212">
        <v>8752.5</v>
      </c>
      <c r="E65" s="277">
        <v>8752.5</v>
      </c>
      <c r="F65" s="311">
        <v>0</v>
      </c>
      <c r="G65" s="212">
        <v>10269.4</v>
      </c>
      <c r="H65" s="380">
        <f t="shared" ref="H65:H73" si="21">G65-D65</f>
        <v>1516.8999999999996</v>
      </c>
      <c r="I65" s="381"/>
      <c r="J65" s="319">
        <v>11187</v>
      </c>
      <c r="K65" s="319">
        <v>11807</v>
      </c>
    </row>
    <row r="66" spans="1:11" ht="28.5" hidden="1" customHeight="1" x14ac:dyDescent="0.4">
      <c r="A66" s="247"/>
      <c r="B66" s="250" t="s">
        <v>208</v>
      </c>
      <c r="C66" s="340"/>
      <c r="D66" s="212">
        <v>157.80000000000001</v>
      </c>
      <c r="E66" s="277">
        <v>157.80000000000001</v>
      </c>
      <c r="F66" s="311">
        <v>0</v>
      </c>
      <c r="G66" s="212"/>
      <c r="H66" s="380">
        <f t="shared" si="21"/>
        <v>-157.80000000000001</v>
      </c>
      <c r="I66" s="381"/>
      <c r="J66" s="212"/>
      <c r="K66" s="212"/>
    </row>
    <row r="67" spans="1:11" ht="28.5" hidden="1" customHeight="1" x14ac:dyDescent="0.4">
      <c r="A67" s="247"/>
      <c r="B67" s="251" t="s">
        <v>290</v>
      </c>
      <c r="C67" s="341"/>
      <c r="D67" s="214">
        <v>477</v>
      </c>
      <c r="E67" s="278">
        <v>477</v>
      </c>
      <c r="F67" s="312">
        <v>0</v>
      </c>
      <c r="G67" s="214">
        <v>270.60000000000002</v>
      </c>
      <c r="H67" s="382">
        <f t="shared" si="21"/>
        <v>-206.39999999999998</v>
      </c>
      <c r="I67" s="383"/>
      <c r="J67" s="214"/>
      <c r="K67" s="214"/>
    </row>
    <row r="68" spans="1:11" ht="42" customHeight="1" thickBot="1" x14ac:dyDescent="0.45">
      <c r="A68" s="224" t="s">
        <v>151</v>
      </c>
      <c r="B68" s="252" t="s">
        <v>37</v>
      </c>
      <c r="C68" s="121">
        <v>39</v>
      </c>
      <c r="D68" s="121">
        <v>39</v>
      </c>
      <c r="E68" s="269">
        <v>39</v>
      </c>
      <c r="F68" s="297">
        <v>0</v>
      </c>
      <c r="G68" s="121">
        <v>40.200000000000003</v>
      </c>
      <c r="H68" s="384">
        <f t="shared" si="21"/>
        <v>1.2000000000000028</v>
      </c>
      <c r="I68" s="359">
        <f>G68/D68</f>
        <v>1.0307692307692309</v>
      </c>
      <c r="J68" s="322">
        <v>40.200000000000003</v>
      </c>
      <c r="K68" s="322">
        <v>40.200000000000003</v>
      </c>
    </row>
    <row r="69" spans="1:11" ht="29.15" customHeight="1" thickBot="1" x14ac:dyDescent="0.45">
      <c r="A69" s="226" t="s">
        <v>154</v>
      </c>
      <c r="B69" s="244" t="s">
        <v>157</v>
      </c>
      <c r="C69" s="134">
        <f t="shared" ref="C69:K69" si="22">SUM(C70:C101)</f>
        <v>1611.2530000000004</v>
      </c>
      <c r="D69" s="134">
        <f t="shared" si="22"/>
        <v>2759.9970000000008</v>
      </c>
      <c r="E69" s="279">
        <f t="shared" si="22"/>
        <v>2759.9952700000008</v>
      </c>
      <c r="F69" s="313">
        <f t="shared" si="22"/>
        <v>256.31463000000002</v>
      </c>
      <c r="G69" s="134">
        <f t="shared" si="22"/>
        <v>2400.7350000000001</v>
      </c>
      <c r="H69" s="398">
        <f t="shared" si="21"/>
        <v>-359.26200000000063</v>
      </c>
      <c r="I69" s="399">
        <f>G69/D69</f>
        <v>0.86983246720920326</v>
      </c>
      <c r="J69" s="134">
        <f t="shared" si="22"/>
        <v>2133.6620000000003</v>
      </c>
      <c r="K69" s="134">
        <f t="shared" si="22"/>
        <v>2133.6620000000003</v>
      </c>
    </row>
    <row r="70" spans="1:11" ht="39.450000000000003" customHeight="1" x14ac:dyDescent="0.4">
      <c r="A70" s="490"/>
      <c r="B70" s="140" t="s">
        <v>117</v>
      </c>
      <c r="C70" s="113">
        <v>111.2</v>
      </c>
      <c r="D70" s="113">
        <v>111.2</v>
      </c>
      <c r="E70" s="280">
        <v>111.2</v>
      </c>
      <c r="F70" s="315">
        <v>0</v>
      </c>
      <c r="G70" s="113">
        <v>150</v>
      </c>
      <c r="H70" s="385">
        <f t="shared" si="21"/>
        <v>38.799999999999997</v>
      </c>
      <c r="I70" s="386">
        <f>G70/D70</f>
        <v>1.3489208633093526</v>
      </c>
      <c r="J70" s="323">
        <v>150</v>
      </c>
      <c r="K70" s="323">
        <v>150</v>
      </c>
    </row>
    <row r="71" spans="1:11" ht="51.45" customHeight="1" x14ac:dyDescent="0.4">
      <c r="A71" s="491"/>
      <c r="B71" s="140" t="s">
        <v>193</v>
      </c>
      <c r="C71" s="139">
        <v>47.555</v>
      </c>
      <c r="D71" s="139">
        <v>47.555</v>
      </c>
      <c r="E71" s="281">
        <v>47.555</v>
      </c>
      <c r="F71" s="315">
        <v>0</v>
      </c>
      <c r="G71" s="351">
        <v>49.741999999999997</v>
      </c>
      <c r="H71" s="387">
        <f t="shared" si="21"/>
        <v>2.1869999999999976</v>
      </c>
      <c r="I71" s="388">
        <f>G71/D71</f>
        <v>1.0459888550099883</v>
      </c>
      <c r="J71" s="351">
        <v>53.720999999999997</v>
      </c>
      <c r="K71" s="351">
        <v>53.720999999999997</v>
      </c>
    </row>
    <row r="72" spans="1:11" ht="75" customHeight="1" x14ac:dyDescent="0.4">
      <c r="A72" s="491"/>
      <c r="B72" s="140" t="s">
        <v>164</v>
      </c>
      <c r="C72" s="203"/>
      <c r="D72" s="141">
        <v>6.1970000000000001</v>
      </c>
      <c r="E72" s="282">
        <v>6.1970000000000001</v>
      </c>
      <c r="F72" s="315">
        <v>0</v>
      </c>
      <c r="G72" s="315">
        <v>0</v>
      </c>
      <c r="H72" s="389">
        <f t="shared" si="21"/>
        <v>-6.1970000000000001</v>
      </c>
      <c r="I72" s="390"/>
      <c r="J72" s="315">
        <v>0</v>
      </c>
      <c r="K72" s="315">
        <v>0</v>
      </c>
    </row>
    <row r="73" spans="1:11" ht="64.400000000000006" customHeight="1" x14ac:dyDescent="0.4">
      <c r="A73" s="491"/>
      <c r="B73" s="142" t="s">
        <v>197</v>
      </c>
      <c r="C73" s="342"/>
      <c r="D73" s="139">
        <v>15.84</v>
      </c>
      <c r="E73" s="281">
        <v>15.84</v>
      </c>
      <c r="F73" s="314">
        <v>7.1273400000000002</v>
      </c>
      <c r="G73" s="139"/>
      <c r="H73" s="391">
        <f t="shared" si="21"/>
        <v>-15.84</v>
      </c>
      <c r="I73" s="392"/>
      <c r="J73" s="139"/>
      <c r="K73" s="139"/>
    </row>
    <row r="74" spans="1:11" ht="45" customHeight="1" x14ac:dyDescent="0.4">
      <c r="A74" s="491"/>
      <c r="B74" s="142" t="s">
        <v>213</v>
      </c>
      <c r="C74" s="139">
        <v>3.8</v>
      </c>
      <c r="D74" s="139">
        <v>3.8</v>
      </c>
      <c r="E74" s="281">
        <v>3.8</v>
      </c>
      <c r="F74" s="314">
        <v>0.40679999999999999</v>
      </c>
      <c r="G74" s="139">
        <v>0</v>
      </c>
      <c r="H74" s="391">
        <f t="shared" ref="H74:H101" si="23">G74-D74</f>
        <v>-3.8</v>
      </c>
      <c r="I74" s="392">
        <f>G74/D74</f>
        <v>0</v>
      </c>
      <c r="J74" s="139">
        <v>0</v>
      </c>
      <c r="K74" s="139">
        <v>0</v>
      </c>
    </row>
    <row r="75" spans="1:11" ht="45" customHeight="1" x14ac:dyDescent="0.4">
      <c r="A75" s="491"/>
      <c r="B75" s="142" t="s">
        <v>201</v>
      </c>
      <c r="C75" s="343"/>
      <c r="D75" s="114">
        <v>0</v>
      </c>
      <c r="E75" s="283">
        <v>0</v>
      </c>
      <c r="F75" s="314">
        <v>0</v>
      </c>
      <c r="G75" s="114">
        <v>68</v>
      </c>
      <c r="H75" s="391">
        <f t="shared" si="23"/>
        <v>68</v>
      </c>
      <c r="I75" s="392"/>
      <c r="J75" s="114">
        <v>0</v>
      </c>
      <c r="K75" s="114">
        <v>0</v>
      </c>
    </row>
    <row r="76" spans="1:11" ht="50.15" customHeight="1" x14ac:dyDescent="0.4">
      <c r="A76" s="491"/>
      <c r="B76" s="142" t="s">
        <v>211</v>
      </c>
      <c r="C76" s="342"/>
      <c r="D76" s="139">
        <v>43</v>
      </c>
      <c r="E76" s="281">
        <v>43</v>
      </c>
      <c r="F76" s="315">
        <v>0</v>
      </c>
      <c r="G76" s="139">
        <v>300</v>
      </c>
      <c r="H76" s="391">
        <f t="shared" si="23"/>
        <v>257</v>
      </c>
      <c r="I76" s="392">
        <f t="shared" ref="I76:I101" si="24">G76/D76</f>
        <v>6.9767441860465116</v>
      </c>
      <c r="J76" s="139">
        <v>323.10000000000002</v>
      </c>
      <c r="K76" s="139">
        <v>323.10000000000002</v>
      </c>
    </row>
    <row r="77" spans="1:11" ht="38.15" customHeight="1" x14ac:dyDescent="0.4">
      <c r="A77" s="491"/>
      <c r="B77" s="138" t="s">
        <v>168</v>
      </c>
      <c r="C77" s="115">
        <v>1121.7</v>
      </c>
      <c r="D77" s="115">
        <v>1121.7</v>
      </c>
      <c r="E77" s="275">
        <v>1121.6994299999999</v>
      </c>
      <c r="F77" s="309">
        <v>0</v>
      </c>
      <c r="G77" s="352">
        <v>1121.7</v>
      </c>
      <c r="H77" s="391">
        <f t="shared" si="23"/>
        <v>0</v>
      </c>
      <c r="I77" s="392">
        <f t="shared" si="24"/>
        <v>1</v>
      </c>
      <c r="J77" s="352">
        <v>1121.7</v>
      </c>
      <c r="K77" s="352">
        <v>1121.7</v>
      </c>
    </row>
    <row r="78" spans="1:11" ht="34" customHeight="1" x14ac:dyDescent="0.4">
      <c r="A78" s="491"/>
      <c r="B78" s="146" t="s">
        <v>118</v>
      </c>
      <c r="C78" s="154">
        <v>25.484000000000002</v>
      </c>
      <c r="D78" s="154">
        <v>25.484000000000002</v>
      </c>
      <c r="E78" s="284">
        <v>25.484000000000002</v>
      </c>
      <c r="F78" s="316">
        <v>0</v>
      </c>
      <c r="G78" s="154">
        <v>25.276</v>
      </c>
      <c r="H78" s="391">
        <f t="shared" si="23"/>
        <v>-0.20800000000000196</v>
      </c>
      <c r="I78" s="392">
        <f t="shared" si="24"/>
        <v>0.9918380160100454</v>
      </c>
      <c r="J78" s="154">
        <v>25.276</v>
      </c>
      <c r="K78" s="154">
        <v>25.276</v>
      </c>
    </row>
    <row r="79" spans="1:11" ht="41.15" customHeight="1" x14ac:dyDescent="0.4">
      <c r="A79" s="491"/>
      <c r="B79" s="146" t="s">
        <v>121</v>
      </c>
      <c r="C79" s="154">
        <v>22.8</v>
      </c>
      <c r="D79" s="154">
        <v>24.2</v>
      </c>
      <c r="E79" s="284">
        <v>24.2</v>
      </c>
      <c r="F79" s="316">
        <v>0</v>
      </c>
      <c r="G79" s="154">
        <v>24.2</v>
      </c>
      <c r="H79" s="391">
        <f t="shared" si="23"/>
        <v>0</v>
      </c>
      <c r="I79" s="392">
        <f t="shared" si="24"/>
        <v>1</v>
      </c>
      <c r="J79" s="154">
        <v>24.2</v>
      </c>
      <c r="K79" s="154">
        <v>24.2</v>
      </c>
    </row>
    <row r="80" spans="1:11" ht="40.75" customHeight="1" x14ac:dyDescent="0.4">
      <c r="A80" s="491"/>
      <c r="B80" s="146" t="s">
        <v>191</v>
      </c>
      <c r="C80" s="154">
        <v>24.419</v>
      </c>
      <c r="D80" s="154">
        <v>10.734999999999999</v>
      </c>
      <c r="E80" s="284">
        <v>10.734999999999999</v>
      </c>
      <c r="F80" s="316">
        <v>2.70899</v>
      </c>
      <c r="G80" s="351">
        <v>24.419</v>
      </c>
      <c r="H80" s="391">
        <f t="shared" si="23"/>
        <v>13.684000000000001</v>
      </c>
      <c r="I80" s="392">
        <f t="shared" si="24"/>
        <v>2.2747088961341406</v>
      </c>
      <c r="J80" s="351">
        <v>24.419</v>
      </c>
      <c r="K80" s="351">
        <v>24.419</v>
      </c>
    </row>
    <row r="81" spans="1:11" ht="40.5" customHeight="1" x14ac:dyDescent="0.4">
      <c r="A81" s="491"/>
      <c r="B81" s="146" t="s">
        <v>123</v>
      </c>
      <c r="C81" s="344"/>
      <c r="D81" s="154">
        <v>9.2919999999999998</v>
      </c>
      <c r="E81" s="284">
        <v>9.2919999999999998</v>
      </c>
      <c r="F81" s="316">
        <v>0</v>
      </c>
      <c r="G81" s="154">
        <v>13.504</v>
      </c>
      <c r="H81" s="391">
        <f t="shared" si="23"/>
        <v>4.2119999999999997</v>
      </c>
      <c r="I81" s="392">
        <f t="shared" si="24"/>
        <v>1.4532931554024968</v>
      </c>
      <c r="J81" s="154">
        <v>13.504</v>
      </c>
      <c r="K81" s="154">
        <v>13.504</v>
      </c>
    </row>
    <row r="82" spans="1:11" ht="40.5" hidden="1" customHeight="1" x14ac:dyDescent="0.4">
      <c r="A82" s="491"/>
      <c r="B82" s="146" t="s">
        <v>152</v>
      </c>
      <c r="C82" s="344"/>
      <c r="D82" s="154"/>
      <c r="E82" s="284"/>
      <c r="F82" s="316"/>
      <c r="G82" s="154"/>
      <c r="H82" s="391">
        <f t="shared" si="23"/>
        <v>0</v>
      </c>
      <c r="I82" s="392" t="e">
        <f t="shared" si="24"/>
        <v>#DIV/0!</v>
      </c>
      <c r="J82" s="154"/>
      <c r="K82" s="154"/>
    </row>
    <row r="83" spans="1:11" ht="40.5" customHeight="1" x14ac:dyDescent="0.4">
      <c r="A83" s="491"/>
      <c r="B83" s="146" t="s">
        <v>153</v>
      </c>
      <c r="C83" s="154">
        <v>71.429000000000002</v>
      </c>
      <c r="D83" s="154">
        <v>176.27600000000001</v>
      </c>
      <c r="E83" s="284">
        <v>176.27600000000001</v>
      </c>
      <c r="F83" s="316">
        <f>0.05095+0.00852+2.99361</f>
        <v>3.05308</v>
      </c>
      <c r="G83" s="154">
        <v>182.72399999999999</v>
      </c>
      <c r="H83" s="391">
        <f t="shared" si="23"/>
        <v>6.4479999999999791</v>
      </c>
      <c r="I83" s="392">
        <f t="shared" si="24"/>
        <v>1.0365790011118925</v>
      </c>
      <c r="J83" s="154">
        <v>182.72399999999999</v>
      </c>
      <c r="K83" s="154">
        <v>182.72399999999999</v>
      </c>
    </row>
    <row r="84" spans="1:11" ht="41.5" customHeight="1" x14ac:dyDescent="0.4">
      <c r="A84" s="491"/>
      <c r="B84" s="146" t="s">
        <v>162</v>
      </c>
      <c r="C84" s="155">
        <v>46.914999999999999</v>
      </c>
      <c r="D84" s="155">
        <v>49.622</v>
      </c>
      <c r="E84" s="285">
        <v>49.62171</v>
      </c>
      <c r="F84" s="317">
        <v>0</v>
      </c>
      <c r="G84" s="155">
        <v>79.570999999999998</v>
      </c>
      <c r="H84" s="391">
        <f t="shared" si="23"/>
        <v>29.948999999999998</v>
      </c>
      <c r="I84" s="392">
        <f t="shared" si="24"/>
        <v>1.6035427834428277</v>
      </c>
      <c r="J84" s="155">
        <v>79.570999999999998</v>
      </c>
      <c r="K84" s="155">
        <v>79.570999999999998</v>
      </c>
    </row>
    <row r="85" spans="1:11" ht="52.4" customHeight="1" x14ac:dyDescent="0.4">
      <c r="A85" s="491"/>
      <c r="B85" s="146" t="s">
        <v>161</v>
      </c>
      <c r="C85" s="155">
        <v>56</v>
      </c>
      <c r="D85" s="155">
        <v>60.677</v>
      </c>
      <c r="E85" s="285">
        <v>60.677</v>
      </c>
      <c r="F85" s="317">
        <v>0</v>
      </c>
      <c r="G85" s="155">
        <v>62.55</v>
      </c>
      <c r="H85" s="391">
        <f t="shared" si="23"/>
        <v>1.8729999999999976</v>
      </c>
      <c r="I85" s="392">
        <f t="shared" si="24"/>
        <v>1.0308683685745834</v>
      </c>
      <c r="J85" s="155">
        <v>62.55</v>
      </c>
      <c r="K85" s="155">
        <v>62.55</v>
      </c>
    </row>
    <row r="86" spans="1:11" ht="41.5" customHeight="1" x14ac:dyDescent="0.4">
      <c r="A86" s="491"/>
      <c r="B86" s="339" t="s">
        <v>185</v>
      </c>
      <c r="C86" s="155">
        <v>12.5</v>
      </c>
      <c r="D86" s="155">
        <v>12.5</v>
      </c>
      <c r="E86" s="285">
        <v>12.5</v>
      </c>
      <c r="F86" s="317">
        <v>0</v>
      </c>
      <c r="G86" s="155">
        <v>13.9</v>
      </c>
      <c r="H86" s="391">
        <f t="shared" si="23"/>
        <v>1.4000000000000004</v>
      </c>
      <c r="I86" s="392">
        <f t="shared" si="24"/>
        <v>1.1120000000000001</v>
      </c>
      <c r="J86" s="155">
        <v>13.9</v>
      </c>
      <c r="K86" s="155">
        <v>13.9</v>
      </c>
    </row>
    <row r="87" spans="1:11" ht="55.75" customHeight="1" x14ac:dyDescent="0.4">
      <c r="A87" s="491"/>
      <c r="B87" s="146" t="s">
        <v>184</v>
      </c>
      <c r="C87" s="155">
        <v>27.001000000000001</v>
      </c>
      <c r="D87" s="155">
        <v>26.439</v>
      </c>
      <c r="E87" s="285">
        <v>26.439</v>
      </c>
      <c r="F87" s="317">
        <v>0</v>
      </c>
      <c r="G87" s="155">
        <v>26.972000000000001</v>
      </c>
      <c r="H87" s="391">
        <f t="shared" si="23"/>
        <v>0.53300000000000125</v>
      </c>
      <c r="I87" s="392">
        <f t="shared" si="24"/>
        <v>1.0201596126933696</v>
      </c>
      <c r="J87" s="155">
        <v>26.972000000000001</v>
      </c>
      <c r="K87" s="155">
        <v>26.972000000000001</v>
      </c>
    </row>
    <row r="88" spans="1:11" ht="41.5" customHeight="1" x14ac:dyDescent="0.4">
      <c r="A88" s="491"/>
      <c r="B88" s="146" t="s">
        <v>166</v>
      </c>
      <c r="C88" s="155">
        <v>14.015000000000001</v>
      </c>
      <c r="D88" s="155">
        <v>14.015000000000001</v>
      </c>
      <c r="E88" s="285">
        <v>14.015000000000001</v>
      </c>
      <c r="F88" s="317">
        <v>0</v>
      </c>
      <c r="G88" s="155">
        <v>13.824999999999999</v>
      </c>
      <c r="H88" s="391">
        <f t="shared" si="23"/>
        <v>-0.19000000000000128</v>
      </c>
      <c r="I88" s="392">
        <f t="shared" si="24"/>
        <v>0.98644309668212615</v>
      </c>
      <c r="J88" s="155">
        <v>13.824999999999999</v>
      </c>
      <c r="K88" s="155">
        <v>13.824999999999999</v>
      </c>
    </row>
    <row r="89" spans="1:11" ht="41.5" customHeight="1" x14ac:dyDescent="0.4">
      <c r="A89" s="491"/>
      <c r="B89" s="148" t="s">
        <v>199</v>
      </c>
      <c r="C89" s="345"/>
      <c r="D89" s="155">
        <v>54.1</v>
      </c>
      <c r="E89" s="285">
        <v>54.1</v>
      </c>
      <c r="F89" s="317">
        <f>13+35.57862+1.01157</f>
        <v>49.59019</v>
      </c>
      <c r="G89" s="155">
        <v>18.2</v>
      </c>
      <c r="H89" s="391">
        <f t="shared" si="23"/>
        <v>-35.900000000000006</v>
      </c>
      <c r="I89" s="392">
        <f t="shared" si="24"/>
        <v>0.33641404805914971</v>
      </c>
      <c r="J89" s="155">
        <v>18.2</v>
      </c>
      <c r="K89" s="155">
        <v>18.2</v>
      </c>
    </row>
    <row r="90" spans="1:11" ht="67" customHeight="1" x14ac:dyDescent="0.4">
      <c r="A90" s="491"/>
      <c r="B90" s="148" t="s">
        <v>169</v>
      </c>
      <c r="C90" s="155">
        <v>24.151</v>
      </c>
      <c r="D90" s="155">
        <v>24.343</v>
      </c>
      <c r="E90" s="285">
        <v>24.342759999999998</v>
      </c>
      <c r="F90" s="317">
        <v>0</v>
      </c>
      <c r="G90" s="155">
        <v>0</v>
      </c>
      <c r="H90" s="391">
        <f t="shared" si="23"/>
        <v>-24.343</v>
      </c>
      <c r="I90" s="392">
        <f t="shared" si="24"/>
        <v>0</v>
      </c>
      <c r="J90" s="155">
        <v>0</v>
      </c>
      <c r="K90" s="155">
        <v>0</v>
      </c>
    </row>
    <row r="91" spans="1:11" ht="51.45" x14ac:dyDescent="0.4">
      <c r="A91" s="491"/>
      <c r="B91" s="148" t="s">
        <v>212</v>
      </c>
      <c r="C91" s="345"/>
      <c r="D91" s="155">
        <v>462</v>
      </c>
      <c r="E91" s="285">
        <v>462</v>
      </c>
      <c r="F91" s="317">
        <f>161.54207+18.39157+0.08843</f>
        <v>180.02206999999999</v>
      </c>
      <c r="G91" s="155">
        <v>0</v>
      </c>
      <c r="H91" s="391">
        <f t="shared" si="23"/>
        <v>-462</v>
      </c>
      <c r="I91" s="392">
        <f t="shared" si="24"/>
        <v>0</v>
      </c>
      <c r="J91" s="155">
        <v>0</v>
      </c>
      <c r="K91" s="155">
        <v>0</v>
      </c>
    </row>
    <row r="92" spans="1:11" ht="64.3" x14ac:dyDescent="0.4">
      <c r="A92" s="491"/>
      <c r="B92" s="148" t="s">
        <v>291</v>
      </c>
      <c r="C92" s="155">
        <v>2.2839999999999998</v>
      </c>
      <c r="D92" s="155">
        <v>10.194000000000001</v>
      </c>
      <c r="E92" s="285">
        <v>10.193379999999999</v>
      </c>
      <c r="F92" s="317">
        <v>0</v>
      </c>
      <c r="G92" s="260">
        <f>(125.52*3+63.44)/1000</f>
        <v>0.44</v>
      </c>
      <c r="H92" s="391">
        <f t="shared" si="23"/>
        <v>-9.7540000000000013</v>
      </c>
      <c r="I92" s="392">
        <f t="shared" si="24"/>
        <v>4.3162644692956637E-2</v>
      </c>
      <c r="J92" s="155">
        <v>0</v>
      </c>
      <c r="K92" s="155">
        <v>0</v>
      </c>
    </row>
    <row r="93" spans="1:11" ht="84" customHeight="1" x14ac:dyDescent="0.4">
      <c r="A93" s="491"/>
      <c r="B93" s="148" t="s">
        <v>196</v>
      </c>
      <c r="C93" s="345"/>
      <c r="D93" s="155">
        <v>42.664000000000001</v>
      </c>
      <c r="E93" s="284">
        <v>42.664000000000001</v>
      </c>
      <c r="F93" s="317">
        <f>0.22+0.07175+0.26787+0.03665+0.03195+0.019+0.00459+0.00202+0.01174+0.01923</f>
        <v>0.68479999999999996</v>
      </c>
      <c r="G93" s="155"/>
      <c r="H93" s="391">
        <f t="shared" si="23"/>
        <v>-42.664000000000001</v>
      </c>
      <c r="I93" s="392">
        <f t="shared" si="24"/>
        <v>0</v>
      </c>
      <c r="J93" s="155"/>
      <c r="K93" s="155"/>
    </row>
    <row r="94" spans="1:11" ht="90" x14ac:dyDescent="0.4">
      <c r="A94" s="491"/>
      <c r="B94" s="146" t="s">
        <v>195</v>
      </c>
      <c r="C94" s="344"/>
      <c r="D94" s="154">
        <v>245.18700000000001</v>
      </c>
      <c r="E94" s="284">
        <v>245.18700000000001</v>
      </c>
      <c r="F94" s="316">
        <f>E94-219.25951-12.18182-0.89864-0.42301</f>
        <v>12.424020000000006</v>
      </c>
      <c r="G94" s="154"/>
      <c r="H94" s="391">
        <f t="shared" si="23"/>
        <v>-245.18700000000001</v>
      </c>
      <c r="I94" s="392">
        <f t="shared" si="24"/>
        <v>0</v>
      </c>
      <c r="J94" s="154"/>
      <c r="K94" s="154"/>
    </row>
    <row r="95" spans="1:11" ht="63" customHeight="1" x14ac:dyDescent="0.4">
      <c r="A95" s="491"/>
      <c r="B95" s="138" t="s">
        <v>214</v>
      </c>
      <c r="C95" s="346"/>
      <c r="D95" s="207">
        <v>20.039000000000001</v>
      </c>
      <c r="E95" s="286">
        <v>20.039000000000001</v>
      </c>
      <c r="F95" s="317">
        <v>0</v>
      </c>
      <c r="G95" s="207"/>
      <c r="H95" s="391">
        <f t="shared" si="23"/>
        <v>-20.039000000000001</v>
      </c>
      <c r="I95" s="392">
        <f t="shared" si="24"/>
        <v>0</v>
      </c>
      <c r="J95" s="207"/>
      <c r="K95" s="207"/>
    </row>
    <row r="96" spans="1:11" ht="73" customHeight="1" x14ac:dyDescent="0.4">
      <c r="A96" s="491"/>
      <c r="B96" s="146" t="s">
        <v>200</v>
      </c>
      <c r="C96" s="344"/>
      <c r="D96" s="154">
        <v>0.84399999999999997</v>
      </c>
      <c r="E96" s="284">
        <v>0.84399999999999997</v>
      </c>
      <c r="F96" s="316">
        <v>0.29733999999999999</v>
      </c>
      <c r="G96" s="154"/>
      <c r="H96" s="391">
        <f t="shared" si="23"/>
        <v>-0.84399999999999997</v>
      </c>
      <c r="I96" s="392">
        <f t="shared" si="24"/>
        <v>0</v>
      </c>
      <c r="J96" s="154"/>
      <c r="K96" s="154"/>
    </row>
    <row r="97" spans="1:11" ht="46.4" customHeight="1" x14ac:dyDescent="0.4">
      <c r="A97" s="491"/>
      <c r="B97" s="138" t="s">
        <v>202</v>
      </c>
      <c r="C97" s="347"/>
      <c r="D97" s="154">
        <v>0.64500000000000002</v>
      </c>
      <c r="E97" s="284">
        <v>0.64500000000000002</v>
      </c>
      <c r="F97" s="316">
        <v>0</v>
      </c>
      <c r="G97" s="213">
        <v>0.5</v>
      </c>
      <c r="H97" s="391">
        <f t="shared" si="23"/>
        <v>-0.14500000000000002</v>
      </c>
      <c r="I97" s="392">
        <f t="shared" si="24"/>
        <v>0.77519379844961234</v>
      </c>
      <c r="J97" s="316">
        <v>0</v>
      </c>
      <c r="K97" s="316">
        <v>0</v>
      </c>
    </row>
    <row r="98" spans="1:11" ht="89.15" customHeight="1" x14ac:dyDescent="0.4">
      <c r="A98" s="491"/>
      <c r="B98" s="146" t="s">
        <v>203</v>
      </c>
      <c r="C98" s="344"/>
      <c r="D98" s="154">
        <v>128.76300000000001</v>
      </c>
      <c r="E98" s="284">
        <f>94.07961+34.68338</f>
        <v>128.76299</v>
      </c>
      <c r="F98" s="316">
        <v>0</v>
      </c>
      <c r="G98" s="154">
        <v>0</v>
      </c>
      <c r="H98" s="391">
        <f t="shared" si="23"/>
        <v>-128.76300000000001</v>
      </c>
      <c r="I98" s="392">
        <f t="shared" si="24"/>
        <v>0</v>
      </c>
      <c r="J98" s="154">
        <v>0</v>
      </c>
      <c r="K98" s="154">
        <v>0</v>
      </c>
    </row>
    <row r="99" spans="1:11" ht="54.45" customHeight="1" x14ac:dyDescent="0.4">
      <c r="A99" s="491"/>
      <c r="B99" s="148" t="s">
        <v>204</v>
      </c>
      <c r="C99" s="345"/>
      <c r="D99" s="155">
        <v>0</v>
      </c>
      <c r="E99" s="285">
        <v>0</v>
      </c>
      <c r="F99" s="316">
        <v>0</v>
      </c>
      <c r="G99" s="155">
        <v>25.212</v>
      </c>
      <c r="H99" s="391">
        <f t="shared" si="23"/>
        <v>25.212</v>
      </c>
      <c r="I99" s="392"/>
      <c r="J99" s="154">
        <v>0</v>
      </c>
      <c r="K99" s="154">
        <v>0</v>
      </c>
    </row>
    <row r="100" spans="1:11" ht="54.45" customHeight="1" x14ac:dyDescent="0.4">
      <c r="A100" s="491"/>
      <c r="B100" s="148" t="s">
        <v>255</v>
      </c>
      <c r="C100" s="345"/>
      <c r="D100" s="155"/>
      <c r="E100" s="285"/>
      <c r="F100" s="316"/>
      <c r="G100" s="155">
        <v>200</v>
      </c>
      <c r="H100" s="391">
        <f t="shared" ref="H100" si="25">G100-D100</f>
        <v>200</v>
      </c>
      <c r="I100" s="392"/>
      <c r="J100" s="155"/>
      <c r="K100" s="155"/>
    </row>
    <row r="101" spans="1:11" ht="53.15" customHeight="1" thickBot="1" x14ac:dyDescent="0.45">
      <c r="A101" s="493"/>
      <c r="B101" s="208" t="s">
        <v>205</v>
      </c>
      <c r="C101" s="348"/>
      <c r="D101" s="209">
        <v>12.686</v>
      </c>
      <c r="E101" s="287">
        <v>12.686</v>
      </c>
      <c r="F101" s="316">
        <v>0</v>
      </c>
      <c r="G101" s="209">
        <v>0</v>
      </c>
      <c r="H101" s="391">
        <f t="shared" si="23"/>
        <v>-12.686</v>
      </c>
      <c r="I101" s="392">
        <f t="shared" si="24"/>
        <v>0</v>
      </c>
      <c r="J101" s="209">
        <v>0</v>
      </c>
      <c r="K101" s="209">
        <v>0</v>
      </c>
    </row>
    <row r="102" spans="1:11" ht="53.15" thickBot="1" x14ac:dyDescent="0.45">
      <c r="A102" s="253" t="s">
        <v>76</v>
      </c>
      <c r="B102" s="210" t="s">
        <v>155</v>
      </c>
      <c r="C102" s="136">
        <v>1485.5519999999999</v>
      </c>
      <c r="D102" s="116">
        <v>2277.7829999999999</v>
      </c>
      <c r="E102" s="288">
        <v>2368.6276800000001</v>
      </c>
      <c r="F102" s="318"/>
      <c r="G102" s="136">
        <f>2413.59+9.4</f>
        <v>2422.9900000000002</v>
      </c>
      <c r="H102" s="400">
        <f>G102-D102</f>
        <v>145.20700000000033</v>
      </c>
      <c r="I102" s="401">
        <f>G102/D102</f>
        <v>1.0637492684772871</v>
      </c>
      <c r="J102" s="136">
        <v>11318.328</v>
      </c>
      <c r="K102" s="136">
        <v>6587.9539999999997</v>
      </c>
    </row>
    <row r="103" spans="1:11" ht="29.5" customHeight="1" thickBot="1" x14ac:dyDescent="0.45">
      <c r="A103" s="254"/>
      <c r="B103" s="211" t="s">
        <v>70</v>
      </c>
      <c r="C103" s="136">
        <f t="shared" ref="C103:H103" si="26">SUM(C102,C38,C37)</f>
        <v>42672.494999999995</v>
      </c>
      <c r="D103" s="116">
        <f t="shared" si="26"/>
        <v>45323.707999999999</v>
      </c>
      <c r="E103" s="288">
        <f t="shared" si="26"/>
        <v>47591.292549999998</v>
      </c>
      <c r="F103" s="318">
        <f t="shared" si="26"/>
        <v>292.77459000000005</v>
      </c>
      <c r="G103" s="136">
        <f t="shared" si="26"/>
        <v>48964.052000000003</v>
      </c>
      <c r="H103" s="400">
        <f t="shared" si="26"/>
        <v>3640.344000000001</v>
      </c>
      <c r="I103" s="401">
        <f>G103/D103</f>
        <v>1.0803187594448362</v>
      </c>
      <c r="J103" s="136">
        <f>SUM(J102,J38,J37)</f>
        <v>60161.917000000001</v>
      </c>
      <c r="K103" s="136">
        <f>SUM(K102,K38,K37)</f>
        <v>57751.843000000001</v>
      </c>
    </row>
    <row r="104" spans="1:11" ht="29.5" customHeight="1" thickBot="1" x14ac:dyDescent="0.45">
      <c r="A104" s="255">
        <v>6</v>
      </c>
      <c r="B104" s="256" t="s">
        <v>198</v>
      </c>
      <c r="C104" s="156">
        <f>SUM(C106:C111)</f>
        <v>5924.9670000000006</v>
      </c>
      <c r="D104" s="117">
        <v>6969.8029999999999</v>
      </c>
      <c r="E104" s="266">
        <f>SUM(E106:E111)</f>
        <v>6969.8026400000008</v>
      </c>
      <c r="F104" s="293"/>
      <c r="G104" s="156">
        <f>SUM(G106:G111)</f>
        <v>8589.0419999999995</v>
      </c>
      <c r="H104" s="402">
        <f>G104-D104</f>
        <v>1619.2389999999996</v>
      </c>
      <c r="I104" s="403">
        <f>G104/D104</f>
        <v>1.232322061326554</v>
      </c>
      <c r="J104" s="156">
        <f>SUM(J106:J111)</f>
        <v>1764.19</v>
      </c>
      <c r="K104" s="156">
        <f>SUM(K106:K111)</f>
        <v>70.56</v>
      </c>
    </row>
    <row r="105" spans="1:11" ht="29.5" hidden="1" customHeight="1" thickBot="1" x14ac:dyDescent="0.45">
      <c r="A105" s="321"/>
      <c r="B105" s="349" t="s">
        <v>206</v>
      </c>
      <c r="C105" s="156"/>
      <c r="D105" s="117"/>
      <c r="E105" s="266"/>
      <c r="F105" s="293"/>
      <c r="G105" s="156"/>
      <c r="H105" s="353"/>
      <c r="I105" s="393"/>
      <c r="J105" s="156"/>
      <c r="K105" s="156"/>
    </row>
    <row r="106" spans="1:11" ht="29.5" hidden="1" customHeight="1" thickBot="1" x14ac:dyDescent="0.45">
      <c r="A106" s="321"/>
      <c r="B106" s="349" t="s">
        <v>225</v>
      </c>
      <c r="C106" s="324">
        <v>5320.0259999999998</v>
      </c>
      <c r="D106" s="337">
        <v>6364.8620000000001</v>
      </c>
      <c r="E106" s="336">
        <v>6364.8620000000001</v>
      </c>
      <c r="F106" s="293"/>
      <c r="G106" s="324">
        <f>8616.656+42.087-800-379.538</f>
        <v>7479.2049999999999</v>
      </c>
      <c r="H106" s="394"/>
      <c r="I106" s="395"/>
      <c r="J106" s="324">
        <f>800+584.652+379.538</f>
        <v>1764.19</v>
      </c>
      <c r="K106" s="324">
        <f>45.56+25</f>
        <v>70.56</v>
      </c>
    </row>
    <row r="107" spans="1:11" ht="39.450000000000003" hidden="1" customHeight="1" thickBot="1" x14ac:dyDescent="0.45">
      <c r="A107" s="321"/>
      <c r="B107" s="349" t="s">
        <v>224</v>
      </c>
      <c r="C107" s="324">
        <v>25.635999999999999</v>
      </c>
      <c r="D107" s="337">
        <v>25.635999999999999</v>
      </c>
      <c r="E107" s="336">
        <v>25.636330000000001</v>
      </c>
      <c r="F107" s="293"/>
      <c r="G107" s="324">
        <f>21.825+86.589-42.087</f>
        <v>66.326999999999998</v>
      </c>
      <c r="H107" s="394"/>
      <c r="I107" s="395"/>
      <c r="J107" s="156"/>
      <c r="K107" s="156"/>
    </row>
    <row r="108" spans="1:11" ht="29.5" hidden="1" customHeight="1" thickBot="1" x14ac:dyDescent="0.45">
      <c r="A108" s="321"/>
      <c r="B108" s="349" t="s">
        <v>223</v>
      </c>
      <c r="C108" s="324">
        <v>47.5</v>
      </c>
      <c r="D108" s="337">
        <v>47.5</v>
      </c>
      <c r="E108" s="336">
        <v>47.5</v>
      </c>
      <c r="F108" s="293"/>
      <c r="G108" s="324">
        <v>218.745</v>
      </c>
      <c r="H108" s="394"/>
      <c r="I108" s="395"/>
      <c r="J108" s="156"/>
      <c r="K108" s="156"/>
    </row>
    <row r="109" spans="1:11" ht="29.5" hidden="1" customHeight="1" thickBot="1" x14ac:dyDescent="0.45">
      <c r="A109" s="321"/>
      <c r="B109" s="349" t="s">
        <v>92</v>
      </c>
      <c r="C109" s="324">
        <v>55.817</v>
      </c>
      <c r="D109" s="337">
        <v>55.817</v>
      </c>
      <c r="E109" s="336">
        <v>55.816850000000002</v>
      </c>
      <c r="F109" s="293"/>
      <c r="G109" s="324">
        <v>0</v>
      </c>
      <c r="H109" s="394"/>
      <c r="I109" s="395"/>
      <c r="J109" s="156"/>
      <c r="K109" s="156"/>
    </row>
    <row r="110" spans="1:11" ht="29.5" hidden="1" customHeight="1" thickBot="1" x14ac:dyDescent="0.45">
      <c r="A110" s="321"/>
      <c r="B110" s="349" t="s">
        <v>251</v>
      </c>
      <c r="C110" s="324">
        <v>18.600000000000001</v>
      </c>
      <c r="D110" s="337">
        <v>18.600000000000001</v>
      </c>
      <c r="E110" s="336">
        <v>18.599730000000001</v>
      </c>
      <c r="F110" s="293"/>
      <c r="G110" s="324">
        <f>15.762+29.093</f>
        <v>44.855000000000004</v>
      </c>
      <c r="H110" s="394"/>
      <c r="I110" s="395"/>
      <c r="J110" s="156"/>
      <c r="K110" s="156"/>
    </row>
    <row r="111" spans="1:11" ht="29.5" hidden="1" customHeight="1" thickBot="1" x14ac:dyDescent="0.45">
      <c r="A111" s="321"/>
      <c r="B111" s="471" t="s">
        <v>222</v>
      </c>
      <c r="C111" s="324">
        <v>457.38799999999998</v>
      </c>
      <c r="D111" s="337">
        <v>457.38799999999998</v>
      </c>
      <c r="E111" s="336">
        <v>457.38772999999998</v>
      </c>
      <c r="F111" s="293"/>
      <c r="G111" s="324">
        <v>779.91</v>
      </c>
      <c r="H111" s="394"/>
      <c r="I111" s="395"/>
      <c r="J111" s="156"/>
      <c r="K111" s="156"/>
    </row>
    <row r="112" spans="1:11" ht="39.450000000000003" customHeight="1" thickBot="1" x14ac:dyDescent="0.45">
      <c r="A112" s="226"/>
      <c r="B112" s="472" t="s">
        <v>112</v>
      </c>
      <c r="C112" s="136">
        <f t="shared" ref="C112" si="27">SUM(C103:C104)</f>
        <v>48597.462</v>
      </c>
      <c r="D112" s="116">
        <f t="shared" ref="D112:K112" si="28">SUM(D103:D104)</f>
        <v>52293.510999999999</v>
      </c>
      <c r="E112" s="288">
        <f t="shared" si="28"/>
        <v>54561.09519</v>
      </c>
      <c r="F112" s="318">
        <f t="shared" si="28"/>
        <v>292.77459000000005</v>
      </c>
      <c r="G112" s="136">
        <f t="shared" si="28"/>
        <v>57553.094000000005</v>
      </c>
      <c r="H112" s="400">
        <f>G112-D112</f>
        <v>5259.583000000006</v>
      </c>
      <c r="I112" s="401">
        <f>G112/D112</f>
        <v>1.100578119529974</v>
      </c>
      <c r="J112" s="136">
        <f t="shared" si="28"/>
        <v>61926.107000000004</v>
      </c>
      <c r="K112" s="136">
        <f t="shared" si="28"/>
        <v>57822.402999999998</v>
      </c>
    </row>
    <row r="113" spans="1:11" ht="35.15" customHeight="1" thickBot="1" x14ac:dyDescent="0.45">
      <c r="A113" s="226"/>
      <c r="B113" s="257" t="s">
        <v>71</v>
      </c>
      <c r="C113" s="120">
        <v>325.05700000000002</v>
      </c>
      <c r="D113" s="202">
        <v>418.75799999999998</v>
      </c>
      <c r="E113" s="273">
        <v>378.10129000000001</v>
      </c>
      <c r="F113" s="304"/>
      <c r="G113" s="120">
        <v>26.21</v>
      </c>
      <c r="H113" s="400">
        <f>G113-D113</f>
        <v>-392.548</v>
      </c>
      <c r="I113" s="401">
        <f>G113/D113</f>
        <v>6.2589849029749886E-2</v>
      </c>
      <c r="J113" s="120">
        <v>1306.97</v>
      </c>
      <c r="K113" s="120">
        <v>1320.1</v>
      </c>
    </row>
    <row r="114" spans="1:11" hidden="1" x14ac:dyDescent="0.4">
      <c r="B114" s="261"/>
      <c r="C114" s="261"/>
      <c r="G114" s="205">
        <v>26.21</v>
      </c>
      <c r="J114" s="204">
        <f>SUM(J112:J113)</f>
        <v>63233.077000000005</v>
      </c>
      <c r="K114" s="204">
        <f>SUM(K112:K113)</f>
        <v>59142.502999999997</v>
      </c>
    </row>
    <row r="115" spans="1:11" hidden="1" x14ac:dyDescent="0.4">
      <c r="D115" s="204"/>
      <c r="E115" s="443"/>
      <c r="F115" s="291" t="s">
        <v>230</v>
      </c>
      <c r="G115" s="204">
        <v>0.4</v>
      </c>
      <c r="H115" s="204"/>
      <c r="I115" s="204"/>
      <c r="J115" s="204"/>
      <c r="K115" s="204"/>
    </row>
    <row r="116" spans="1:11" hidden="1" x14ac:dyDescent="0.4">
      <c r="E116" s="443"/>
      <c r="F116" s="291" t="s">
        <v>226</v>
      </c>
      <c r="G116" s="350">
        <v>20196</v>
      </c>
      <c r="H116" s="350"/>
      <c r="I116" s="350"/>
      <c r="J116" s="205">
        <v>20121.5</v>
      </c>
      <c r="K116" s="205">
        <v>20926.3</v>
      </c>
    </row>
    <row r="117" spans="1:11" hidden="1" x14ac:dyDescent="0.4">
      <c r="E117" s="443"/>
      <c r="F117" s="291" t="s">
        <v>227</v>
      </c>
      <c r="G117" s="205">
        <v>12932.32</v>
      </c>
      <c r="J117" s="205">
        <v>11805.42</v>
      </c>
      <c r="K117" s="205">
        <v>11510.42</v>
      </c>
    </row>
    <row r="118" spans="1:11" hidden="1" x14ac:dyDescent="0.4">
      <c r="E118" s="443"/>
      <c r="F118" s="291" t="s">
        <v>228</v>
      </c>
      <c r="G118" s="205">
        <f>3547.169+100.584+99.5+37.187</f>
        <v>3784.4399999999996</v>
      </c>
      <c r="J118" s="205">
        <f>2102.037+50.603</f>
        <v>2152.64</v>
      </c>
      <c r="K118" s="205">
        <f>1483.434+40.001+0.005+25</f>
        <v>1548.44</v>
      </c>
    </row>
    <row r="119" spans="1:11" hidden="1" x14ac:dyDescent="0.4">
      <c r="E119" s="443"/>
      <c r="G119" s="204">
        <f>SUM(G115:G118)</f>
        <v>36913.160000000003</v>
      </c>
      <c r="H119" s="204"/>
      <c r="I119" s="204"/>
      <c r="J119" s="205">
        <f>SUM(J116:J118)</f>
        <v>34079.56</v>
      </c>
      <c r="K119" s="205">
        <f>SUM(K116:K118)</f>
        <v>33985.160000000003</v>
      </c>
    </row>
    <row r="120" spans="1:11" hidden="1" x14ac:dyDescent="0.4">
      <c r="G120" s="204">
        <f>G21+G17+G113+G9+G12+G22+G23+G30+G31+G32+G33+G34+G106+G108-G119</f>
        <v>0</v>
      </c>
      <c r="H120" s="204"/>
      <c r="I120" s="204"/>
      <c r="J120" s="204">
        <f>J113+J9+J12+J22+J23+J30+J31+J32+J33+J34+J106+J108+J17+J21-J119</f>
        <v>0</v>
      </c>
      <c r="K120" s="204">
        <f>K113+K9+K12+K22+K23+K30+K31+K32+K33+K34+K106+K108+K17+K21-K119</f>
        <v>0</v>
      </c>
    </row>
    <row r="121" spans="1:11" hidden="1" x14ac:dyDescent="0.4">
      <c r="J121" s="325">
        <f>G120+J120</f>
        <v>0</v>
      </c>
      <c r="K121" s="325">
        <f>H120+K120</f>
        <v>0</v>
      </c>
    </row>
    <row r="122" spans="1:11" hidden="1" x14ac:dyDescent="0.4">
      <c r="J122" s="205">
        <f>SUM(J116,J117,J118,J119)</f>
        <v>68159.12</v>
      </c>
      <c r="K122" s="205">
        <f>SUM(K116,K117,K118,K119)</f>
        <v>67970.320000000007</v>
      </c>
    </row>
  </sheetData>
  <sheetProtection algorithmName="SHA-512" hashValue="puYI6SXyqQ/tjV6Kt7AAJfnmEaGAf8uFKtTIHAyzVZMTOXrfhJCWPatL4DmWzuDZF6c+ZRQWRwsJefbeE3Tb2A==" saltValue="2PJIYjtoJEcA1GDf7tIdMg==" spinCount="100000" sheet="1" objects="1" scenarios="1"/>
  <mergeCells count="13">
    <mergeCell ref="J6:J7"/>
    <mergeCell ref="K6:K7"/>
    <mergeCell ref="A4:D4"/>
    <mergeCell ref="A6:A7"/>
    <mergeCell ref="B6:B7"/>
    <mergeCell ref="C6:C7"/>
    <mergeCell ref="D6:D7"/>
    <mergeCell ref="E6:E7"/>
    <mergeCell ref="A70:A101"/>
    <mergeCell ref="F6:F7"/>
    <mergeCell ref="G6:G7"/>
    <mergeCell ref="H6:H7"/>
    <mergeCell ref="I6:I7"/>
  </mergeCells>
  <pageMargins left="0.70866141732283472" right="0.11811023622047245" top="0.74803149606299213" bottom="0.74803149606299213" header="0.31496062992125984" footer="0.31496062992125984"/>
  <pageSetup paperSize="9" scale="71" fitToHeight="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271F3B-A667-45FB-AF35-CFDC2D4FCBD8}">
  <sheetPr>
    <pageSetUpPr fitToPage="1"/>
  </sheetPr>
  <dimension ref="A1:E47"/>
  <sheetViews>
    <sheetView topLeftCell="B1" workbookViewId="0">
      <selection activeCell="B32" sqref="B32"/>
    </sheetView>
  </sheetViews>
  <sheetFormatPr defaultRowHeight="14.6" x14ac:dyDescent="0.4"/>
  <cols>
    <col min="1" max="1" width="14.3828125" hidden="1" customWidth="1"/>
    <col min="2" max="2" width="56.84375" customWidth="1"/>
    <col min="3" max="3" width="19.3046875" customWidth="1"/>
    <col min="4" max="4" width="16.3046875" customWidth="1"/>
    <col min="5" max="5" width="19.53515625" customWidth="1"/>
  </cols>
  <sheetData>
    <row r="1" spans="2:5" ht="15.9" x14ac:dyDescent="0.45">
      <c r="B1" s="29"/>
      <c r="C1" s="90"/>
      <c r="D1" s="90"/>
      <c r="E1" s="90" t="s">
        <v>54</v>
      </c>
    </row>
    <row r="2" spans="2:5" ht="15.9" x14ac:dyDescent="0.45">
      <c r="B2" s="29"/>
      <c r="C2" s="90"/>
      <c r="D2" s="90"/>
      <c r="E2" s="90" t="s">
        <v>215</v>
      </c>
    </row>
    <row r="3" spans="2:5" ht="15.9" x14ac:dyDescent="0.45">
      <c r="B3" s="29"/>
      <c r="E3" s="405" t="s">
        <v>280</v>
      </c>
    </row>
    <row r="4" spans="2:5" ht="15.45" x14ac:dyDescent="0.4">
      <c r="B4" s="500" t="s">
        <v>236</v>
      </c>
      <c r="C4" s="500"/>
      <c r="D4" s="500"/>
      <c r="E4" s="500"/>
    </row>
    <row r="5" spans="2:5" ht="15.9" thickBot="1" x14ac:dyDescent="0.45">
      <c r="B5" s="406"/>
      <c r="C5" s="188"/>
      <c r="D5" s="188"/>
      <c r="E5" s="404" t="s">
        <v>237</v>
      </c>
    </row>
    <row r="6" spans="2:5" ht="15.45" x14ac:dyDescent="0.4">
      <c r="B6" s="407" t="s">
        <v>238</v>
      </c>
      <c r="C6" s="419" t="s">
        <v>239</v>
      </c>
      <c r="D6" s="437" t="s">
        <v>240</v>
      </c>
      <c r="E6" s="429" t="s">
        <v>241</v>
      </c>
    </row>
    <row r="7" spans="2:5" ht="15.45" x14ac:dyDescent="0.4">
      <c r="B7" s="418"/>
      <c r="C7" s="420"/>
      <c r="D7" s="438"/>
      <c r="E7" s="430"/>
    </row>
    <row r="8" spans="2:5" ht="15.45" x14ac:dyDescent="0.4">
      <c r="B8" s="417" t="s">
        <v>242</v>
      </c>
      <c r="C8" s="421">
        <f>SUM(C19,C18,C17,C16,C15,C14,C9)</f>
        <v>8589.0419999999995</v>
      </c>
      <c r="D8" s="408">
        <f>SUM(D19,D18,D17,D16,D15,D14,D9)</f>
        <v>1764.19</v>
      </c>
      <c r="E8" s="431">
        <f>SUM(E19,E18,E17,E16,E15,E14,E9)</f>
        <v>70.56</v>
      </c>
    </row>
    <row r="9" spans="2:5" ht="15.45" x14ac:dyDescent="0.4">
      <c r="B9" s="416" t="s">
        <v>243</v>
      </c>
      <c r="C9" s="422">
        <f>C10+C11+C12+C13</f>
        <v>7479.2049999999999</v>
      </c>
      <c r="D9" s="414">
        <f t="shared" ref="D9:E9" si="0">D10+D11</f>
        <v>1764.19</v>
      </c>
      <c r="E9" s="432">
        <f t="shared" si="0"/>
        <v>70.56</v>
      </c>
    </row>
    <row r="10" spans="2:5" ht="15.45" x14ac:dyDescent="0.4">
      <c r="B10" s="409" t="s">
        <v>244</v>
      </c>
      <c r="C10" s="423">
        <v>4819.5619999999999</v>
      </c>
      <c r="D10" s="439">
        <v>1179.538</v>
      </c>
      <c r="E10" s="433">
        <v>0</v>
      </c>
    </row>
    <row r="11" spans="2:5" ht="15.45" x14ac:dyDescent="0.4">
      <c r="B11" s="409" t="s">
        <v>245</v>
      </c>
      <c r="C11" s="423">
        <v>2628.7939999999999</v>
      </c>
      <c r="D11" s="439">
        <v>584.65200000000004</v>
      </c>
      <c r="E11" s="433">
        <f>45.56+25</f>
        <v>70.56</v>
      </c>
    </row>
    <row r="12" spans="2:5" ht="30.9" x14ac:dyDescent="0.4">
      <c r="B12" s="411" t="s">
        <v>279</v>
      </c>
      <c r="C12" s="423">
        <v>10.701000000000001</v>
      </c>
      <c r="D12" s="439"/>
      <c r="E12" s="433"/>
    </row>
    <row r="13" spans="2:5" ht="30.9" x14ac:dyDescent="0.4">
      <c r="B13" s="411" t="s">
        <v>281</v>
      </c>
      <c r="C13" s="423">
        <v>20.148</v>
      </c>
      <c r="D13" s="439"/>
      <c r="E13" s="433"/>
    </row>
    <row r="14" spans="2:5" ht="15.45" x14ac:dyDescent="0.4">
      <c r="B14" s="410" t="s">
        <v>246</v>
      </c>
      <c r="C14" s="424">
        <f>21.825+86.589-42.087</f>
        <v>66.326999999999998</v>
      </c>
      <c r="D14" s="440"/>
      <c r="E14" s="434"/>
    </row>
    <row r="15" spans="2:5" ht="15.45" x14ac:dyDescent="0.4">
      <c r="B15" s="409" t="s">
        <v>252</v>
      </c>
      <c r="C15" s="424">
        <v>218.745</v>
      </c>
      <c r="D15" s="439">
        <v>0</v>
      </c>
      <c r="E15" s="433">
        <v>0</v>
      </c>
    </row>
    <row r="16" spans="2:5" ht="15.45" x14ac:dyDescent="0.4">
      <c r="B16" s="411" t="s">
        <v>253</v>
      </c>
      <c r="C16" s="424">
        <v>0</v>
      </c>
      <c r="D16" s="439"/>
      <c r="E16" s="433"/>
    </row>
    <row r="17" spans="1:5" ht="15.45" x14ac:dyDescent="0.4">
      <c r="B17" s="409" t="s">
        <v>251</v>
      </c>
      <c r="C17" s="424">
        <f>15.762+29.093</f>
        <v>44.855000000000004</v>
      </c>
      <c r="D17" s="440"/>
      <c r="E17" s="434"/>
    </row>
    <row r="18" spans="1:5" ht="30.9" x14ac:dyDescent="0.4">
      <c r="B18" s="411" t="s">
        <v>247</v>
      </c>
      <c r="C18" s="423"/>
      <c r="D18" s="440">
        <v>0</v>
      </c>
      <c r="E18" s="434">
        <v>0</v>
      </c>
    </row>
    <row r="19" spans="1:5" ht="15.45" x14ac:dyDescent="0.4">
      <c r="B19" s="415" t="s">
        <v>254</v>
      </c>
      <c r="C19" s="425">
        <v>779.91</v>
      </c>
      <c r="D19" s="441"/>
      <c r="E19" s="435"/>
    </row>
    <row r="20" spans="1:5" ht="15.45" x14ac:dyDescent="0.4">
      <c r="B20" s="417" t="s">
        <v>248</v>
      </c>
      <c r="C20" s="421">
        <f>C21+C22</f>
        <v>26.21</v>
      </c>
      <c r="D20" s="408">
        <f t="shared" ref="D20:E20" si="1">D21+D22</f>
        <v>1306.97</v>
      </c>
      <c r="E20" s="431">
        <f t="shared" si="1"/>
        <v>1320.1</v>
      </c>
    </row>
    <row r="21" spans="1:5" ht="15.45" x14ac:dyDescent="0.4">
      <c r="B21" s="416" t="s">
        <v>249</v>
      </c>
      <c r="C21" s="426">
        <v>0</v>
      </c>
      <c r="D21" s="414">
        <v>0</v>
      </c>
      <c r="E21" s="432">
        <f>108.867+40.003</f>
        <v>148.87</v>
      </c>
    </row>
    <row r="22" spans="1:5" ht="15.45" x14ac:dyDescent="0.4">
      <c r="B22" s="412" t="s">
        <v>250</v>
      </c>
      <c r="C22" s="427">
        <v>26.21</v>
      </c>
      <c r="D22" s="441">
        <v>1306.97</v>
      </c>
      <c r="E22" s="435">
        <f>1211.233-40.003</f>
        <v>1171.23</v>
      </c>
    </row>
    <row r="23" spans="1:5" ht="15.9" thickBot="1" x14ac:dyDescent="0.45">
      <c r="B23" s="413"/>
      <c r="C23" s="428">
        <f>C8+C20</f>
        <v>8615.2519999999986</v>
      </c>
      <c r="D23" s="442">
        <f>D8+D20</f>
        <v>3071.16</v>
      </c>
      <c r="E23" s="436">
        <f>E8+E20</f>
        <v>1390.6599999999999</v>
      </c>
    </row>
    <row r="24" spans="1:5" ht="15.45" x14ac:dyDescent="0.4">
      <c r="B24" s="444"/>
      <c r="C24" s="445"/>
      <c r="D24" s="445"/>
      <c r="E24" s="445"/>
    </row>
    <row r="25" spans="1:5" ht="15.9" thickBot="1" x14ac:dyDescent="0.45">
      <c r="B25" s="444"/>
      <c r="C25" s="445"/>
      <c r="D25" s="445"/>
      <c r="E25" s="445"/>
    </row>
    <row r="26" spans="1:5" ht="34.75" customHeight="1" thickBot="1" x14ac:dyDescent="0.45">
      <c r="B26" s="461" t="s">
        <v>282</v>
      </c>
      <c r="C26" s="462" t="s">
        <v>239</v>
      </c>
      <c r="D26" s="462" t="s">
        <v>240</v>
      </c>
      <c r="E26" s="463" t="s">
        <v>241</v>
      </c>
    </row>
    <row r="27" spans="1:5" ht="34.75" customHeight="1" thickBot="1" x14ac:dyDescent="0.45">
      <c r="A27" s="447" t="s">
        <v>287</v>
      </c>
      <c r="B27" s="458" t="s">
        <v>286</v>
      </c>
      <c r="C27" s="469"/>
      <c r="D27" s="469"/>
      <c r="E27" s="470">
        <v>108.86799999999999</v>
      </c>
    </row>
    <row r="28" spans="1:5" ht="32.700000000000003" customHeight="1" thickBot="1" x14ac:dyDescent="0.45">
      <c r="A28" s="447" t="s">
        <v>256</v>
      </c>
      <c r="B28" s="458" t="s">
        <v>257</v>
      </c>
      <c r="C28" s="459"/>
      <c r="D28" s="459">
        <v>36.908000000000001</v>
      </c>
      <c r="E28" s="460"/>
    </row>
    <row r="29" spans="1:5" ht="32.700000000000003" customHeight="1" thickBot="1" x14ac:dyDescent="0.45">
      <c r="A29" s="447" t="s">
        <v>288</v>
      </c>
      <c r="B29" s="464" t="s">
        <v>298</v>
      </c>
      <c r="C29" s="459"/>
      <c r="D29" s="459"/>
      <c r="E29" s="460">
        <v>40.002000000000002</v>
      </c>
    </row>
    <row r="30" spans="1:5" ht="47.15" customHeight="1" thickBot="1" x14ac:dyDescent="0.45">
      <c r="A30" s="446" t="s">
        <v>277</v>
      </c>
      <c r="B30" s="453" t="s">
        <v>276</v>
      </c>
      <c r="C30" s="452"/>
      <c r="D30" s="452">
        <v>297.90699999999998</v>
      </c>
      <c r="E30" s="439"/>
    </row>
    <row r="31" spans="1:5" ht="38.15" customHeight="1" thickBot="1" x14ac:dyDescent="0.45">
      <c r="A31" s="447" t="s">
        <v>258</v>
      </c>
      <c r="B31" s="453" t="s">
        <v>292</v>
      </c>
      <c r="C31" s="452"/>
      <c r="D31" s="452">
        <v>93.361999999999995</v>
      </c>
      <c r="E31" s="439">
        <v>16.05</v>
      </c>
    </row>
    <row r="32" spans="1:5" ht="49.4" customHeight="1" thickBot="1" x14ac:dyDescent="0.45">
      <c r="A32" s="448" t="s">
        <v>278</v>
      </c>
      <c r="B32" s="454" t="s">
        <v>299</v>
      </c>
      <c r="C32" s="452">
        <v>26.21</v>
      </c>
      <c r="D32" s="452"/>
      <c r="E32" s="439"/>
    </row>
    <row r="33" spans="1:5" ht="49.4" customHeight="1" thickBot="1" x14ac:dyDescent="0.45">
      <c r="A33" s="449" t="s">
        <v>284</v>
      </c>
      <c r="B33" s="454" t="s">
        <v>285</v>
      </c>
      <c r="C33" s="452"/>
      <c r="D33" s="452"/>
      <c r="E33" s="439">
        <v>61.03</v>
      </c>
    </row>
    <row r="34" spans="1:5" ht="38.700000000000003" customHeight="1" thickBot="1" x14ac:dyDescent="0.45">
      <c r="A34" s="446" t="s">
        <v>259</v>
      </c>
      <c r="B34" s="455" t="s">
        <v>300</v>
      </c>
      <c r="C34" s="452"/>
      <c r="D34" s="452">
        <v>187.934</v>
      </c>
      <c r="E34" s="439">
        <f>63.044+25.008-6.427</f>
        <v>81.625</v>
      </c>
    </row>
    <row r="35" spans="1:5" ht="43.4" customHeight="1" thickBot="1" x14ac:dyDescent="0.45">
      <c r="A35" s="449" t="s">
        <v>260</v>
      </c>
      <c r="B35" s="453" t="s">
        <v>261</v>
      </c>
      <c r="C35" s="452"/>
      <c r="D35" s="452"/>
      <c r="E35" s="439">
        <v>19.260000000000002</v>
      </c>
    </row>
    <row r="36" spans="1:5" ht="34.4" customHeight="1" thickBot="1" x14ac:dyDescent="0.45">
      <c r="A36" s="449" t="s">
        <v>262</v>
      </c>
      <c r="B36" s="453" t="s">
        <v>301</v>
      </c>
      <c r="C36" s="452"/>
      <c r="D36" s="452">
        <v>28.515999999999998</v>
      </c>
      <c r="E36" s="439">
        <v>7.55</v>
      </c>
    </row>
    <row r="37" spans="1:5" ht="39" customHeight="1" thickBot="1" x14ac:dyDescent="0.45">
      <c r="A37" s="446" t="s">
        <v>263</v>
      </c>
      <c r="B37" s="456" t="s">
        <v>264</v>
      </c>
      <c r="C37" s="452"/>
      <c r="D37" s="452">
        <v>48.5</v>
      </c>
      <c r="E37" s="439">
        <v>48.5</v>
      </c>
    </row>
    <row r="38" spans="1:5" ht="40.75" customHeight="1" thickBot="1" x14ac:dyDescent="0.45">
      <c r="A38" s="446" t="s">
        <v>265</v>
      </c>
      <c r="B38" s="456" t="s">
        <v>302</v>
      </c>
      <c r="C38" s="452"/>
      <c r="D38" s="452">
        <v>24.053999999999998</v>
      </c>
      <c r="E38" s="439"/>
    </row>
    <row r="39" spans="1:5" ht="46.75" customHeight="1" thickBot="1" x14ac:dyDescent="0.45">
      <c r="A39" s="446" t="s">
        <v>266</v>
      </c>
      <c r="B39" s="455" t="s">
        <v>267</v>
      </c>
      <c r="C39" s="452"/>
      <c r="D39" s="452">
        <v>81.141000000000005</v>
      </c>
      <c r="E39" s="439">
        <v>76.870999999999995</v>
      </c>
    </row>
    <row r="40" spans="1:5" ht="35.700000000000003" customHeight="1" thickBot="1" x14ac:dyDescent="0.45">
      <c r="A40" s="446" t="s">
        <v>268</v>
      </c>
      <c r="B40" s="455" t="s">
        <v>269</v>
      </c>
      <c r="C40" s="452"/>
      <c r="D40" s="452">
        <v>18.597999999999999</v>
      </c>
      <c r="E40" s="439">
        <v>18.794</v>
      </c>
    </row>
    <row r="41" spans="1:5" ht="42.9" thickBot="1" x14ac:dyDescent="0.45">
      <c r="A41" s="450" t="s">
        <v>270</v>
      </c>
      <c r="B41" s="457" t="s">
        <v>303</v>
      </c>
      <c r="C41" s="452"/>
      <c r="D41" s="452"/>
      <c r="E41" s="439">
        <v>323.089</v>
      </c>
    </row>
    <row r="42" spans="1:5" ht="28.4" customHeight="1" thickBot="1" x14ac:dyDescent="0.45">
      <c r="A42" s="446" t="s">
        <v>271</v>
      </c>
      <c r="B42" s="455" t="s">
        <v>293</v>
      </c>
      <c r="C42" s="452"/>
      <c r="D42" s="452">
        <v>92.206000000000003</v>
      </c>
      <c r="E42" s="439">
        <v>87.352999999999994</v>
      </c>
    </row>
    <row r="43" spans="1:5" ht="34.75" customHeight="1" thickBot="1" x14ac:dyDescent="0.45">
      <c r="A43" s="446" t="s">
        <v>272</v>
      </c>
      <c r="B43" s="455" t="s">
        <v>294</v>
      </c>
      <c r="C43" s="452"/>
      <c r="D43" s="452">
        <v>10.8</v>
      </c>
      <c r="E43" s="439">
        <v>45</v>
      </c>
    </row>
    <row r="44" spans="1:5" ht="33.450000000000003" customHeight="1" thickBot="1" x14ac:dyDescent="0.45">
      <c r="A44" s="446" t="s">
        <v>273</v>
      </c>
      <c r="B44" s="456" t="s">
        <v>295</v>
      </c>
      <c r="C44" s="452"/>
      <c r="D44" s="452">
        <v>194.79400000000001</v>
      </c>
      <c r="E44" s="439">
        <v>120.42100000000001</v>
      </c>
    </row>
    <row r="45" spans="1:5" ht="33" customHeight="1" thickBot="1" x14ac:dyDescent="0.45">
      <c r="A45" s="446" t="s">
        <v>274</v>
      </c>
      <c r="B45" s="456" t="s">
        <v>296</v>
      </c>
      <c r="C45" s="452"/>
      <c r="D45" s="452">
        <v>192.25</v>
      </c>
      <c r="E45" s="439">
        <v>124.687</v>
      </c>
    </row>
    <row r="46" spans="1:5" ht="31.75" customHeight="1" thickBot="1" x14ac:dyDescent="0.45">
      <c r="A46" s="451" t="s">
        <v>275</v>
      </c>
      <c r="B46" s="465" t="s">
        <v>297</v>
      </c>
      <c r="C46" s="466"/>
      <c r="D46" s="466"/>
      <c r="E46" s="467">
        <v>141</v>
      </c>
    </row>
    <row r="47" spans="1:5" ht="22" customHeight="1" thickBot="1" x14ac:dyDescent="0.45">
      <c r="B47" s="461" t="s">
        <v>283</v>
      </c>
      <c r="C47" s="468">
        <f>SUM(C27:C46)</f>
        <v>26.21</v>
      </c>
      <c r="D47" s="468">
        <f>SUM(D27:D46)</f>
        <v>1306.9699999999998</v>
      </c>
      <c r="E47" s="468">
        <f>SUM(E27:E46)</f>
        <v>1320.1</v>
      </c>
    </row>
  </sheetData>
  <mergeCells count="1">
    <mergeCell ref="B4:E4"/>
  </mergeCells>
  <pageMargins left="0.70866141732283472" right="0.70866141732283472" top="0.74803149606299213" bottom="0.74803149606299213" header="0.31496062992125984" footer="0.31496062992125984"/>
  <pageSetup paperSize="9" scale="71" fitToHeight="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EC107-81A8-4F8E-9082-B1FD04223289}">
  <sheetPr>
    <pageSetUpPr fitToPage="1"/>
  </sheetPr>
  <dimension ref="A1:E104"/>
  <sheetViews>
    <sheetView zoomScale="85" zoomScaleNormal="85" workbookViewId="0">
      <selection activeCell="A5" sqref="A5:E5"/>
    </sheetView>
  </sheetViews>
  <sheetFormatPr defaultRowHeight="14.6" x14ac:dyDescent="0.4"/>
  <cols>
    <col min="1" max="1" width="8" style="6" customWidth="1"/>
    <col min="2" max="2" width="82.15234375" customWidth="1"/>
    <col min="3" max="3" width="24.15234375" customWidth="1"/>
    <col min="4" max="4" width="19.84375" customWidth="1"/>
    <col min="5" max="5" width="20.84375" customWidth="1"/>
  </cols>
  <sheetData>
    <row r="1" spans="1:5" x14ac:dyDescent="0.4">
      <c r="A1" s="187"/>
      <c r="B1" s="188"/>
      <c r="C1" s="188"/>
      <c r="D1" s="188"/>
      <c r="E1" s="188"/>
    </row>
    <row r="2" spans="1:5" x14ac:dyDescent="0.4">
      <c r="A2" s="187" t="s">
        <v>188</v>
      </c>
      <c r="B2" s="188"/>
      <c r="C2" s="188"/>
      <c r="D2" s="188"/>
      <c r="E2" s="186" t="s">
        <v>55</v>
      </c>
    </row>
    <row r="3" spans="1:5" x14ac:dyDescent="0.4">
      <c r="A3" s="187"/>
      <c r="B3" s="188"/>
      <c r="C3" s="188"/>
      <c r="D3" s="188"/>
      <c r="E3" s="188"/>
    </row>
    <row r="4" spans="1:5" x14ac:dyDescent="0.4">
      <c r="A4" s="187"/>
      <c r="B4" s="188"/>
      <c r="C4" s="189"/>
      <c r="D4" s="188"/>
      <c r="E4" s="188"/>
    </row>
    <row r="5" spans="1:5" ht="15" x14ac:dyDescent="0.4">
      <c r="A5" s="475" t="s">
        <v>182</v>
      </c>
      <c r="B5" s="475"/>
      <c r="C5" s="475"/>
      <c r="D5" s="475"/>
      <c r="E5" s="475"/>
    </row>
    <row r="6" spans="1:5" ht="15.45" thickBot="1" x14ac:dyDescent="0.45">
      <c r="A6" s="106"/>
      <c r="B6" s="106"/>
      <c r="E6" s="186" t="s">
        <v>74</v>
      </c>
    </row>
    <row r="7" spans="1:5" ht="14.5" customHeight="1" x14ac:dyDescent="0.4">
      <c r="A7" s="476" t="s">
        <v>0</v>
      </c>
      <c r="B7" s="478" t="s">
        <v>1</v>
      </c>
      <c r="C7" s="480" t="s">
        <v>180</v>
      </c>
      <c r="D7" s="501" t="s">
        <v>187</v>
      </c>
      <c r="E7" s="501" t="s">
        <v>189</v>
      </c>
    </row>
    <row r="8" spans="1:5" ht="15" customHeight="1" thickBot="1" x14ac:dyDescent="0.45">
      <c r="A8" s="477"/>
      <c r="B8" s="479"/>
      <c r="C8" s="481"/>
      <c r="D8" s="502"/>
      <c r="E8" s="502"/>
    </row>
    <row r="9" spans="1:5" ht="18" thickBot="1" x14ac:dyDescent="0.45">
      <c r="A9" s="30" t="s">
        <v>2</v>
      </c>
      <c r="B9" s="31" t="s">
        <v>3</v>
      </c>
      <c r="C9" s="41">
        <f>SUM(C10,C13,C17)</f>
        <v>21609</v>
      </c>
      <c r="D9" s="41">
        <f>SUM(D10,D13,D17)</f>
        <v>0</v>
      </c>
      <c r="E9" s="41">
        <f>SUM(E10,E13,E17)</f>
        <v>21609</v>
      </c>
    </row>
    <row r="10" spans="1:5" ht="22.5" customHeight="1" thickBot="1" x14ac:dyDescent="0.45">
      <c r="A10" s="58" t="s">
        <v>4</v>
      </c>
      <c r="B10" s="1" t="s">
        <v>5</v>
      </c>
      <c r="C10" s="44">
        <f>SUM(C11:C12)</f>
        <v>21293</v>
      </c>
      <c r="D10" s="44">
        <f>SUM(D11:D12)</f>
        <v>0</v>
      </c>
      <c r="E10" s="185">
        <f>SUM(E11:E12)</f>
        <v>21293</v>
      </c>
    </row>
    <row r="11" spans="1:5" ht="24.65" customHeight="1" x14ac:dyDescent="0.4">
      <c r="A11" s="7" t="s">
        <v>6</v>
      </c>
      <c r="B11" s="2" t="s">
        <v>139</v>
      </c>
      <c r="C11" s="43">
        <v>21285</v>
      </c>
      <c r="D11" s="183"/>
      <c r="E11" s="43">
        <f>SUM(C11:D11)</f>
        <v>21285</v>
      </c>
    </row>
    <row r="12" spans="1:5" ht="31.3" thickBot="1" x14ac:dyDescent="0.45">
      <c r="A12" s="16" t="s">
        <v>140</v>
      </c>
      <c r="B12" s="125" t="s">
        <v>141</v>
      </c>
      <c r="C12" s="47">
        <v>8</v>
      </c>
      <c r="D12" s="184"/>
      <c r="E12" s="163">
        <f>SUM(C12:D12)</f>
        <v>8</v>
      </c>
    </row>
    <row r="13" spans="1:5" ht="15.45" thickBot="1" x14ac:dyDescent="0.45">
      <c r="A13" s="13" t="s">
        <v>7</v>
      </c>
      <c r="B13" s="35" t="s">
        <v>8</v>
      </c>
      <c r="C13" s="40">
        <f>SUM(C14:C16)</f>
        <v>281</v>
      </c>
      <c r="D13" s="40">
        <f>SUM(D14:D16)</f>
        <v>0</v>
      </c>
      <c r="E13" s="185">
        <f>SUM(E14:E16)</f>
        <v>281</v>
      </c>
    </row>
    <row r="14" spans="1:5" ht="22.5" customHeight="1" x14ac:dyDescent="0.4">
      <c r="A14" s="7" t="s">
        <v>9</v>
      </c>
      <c r="B14" s="3" t="s">
        <v>10</v>
      </c>
      <c r="C14" s="45">
        <v>13</v>
      </c>
      <c r="D14" s="159"/>
      <c r="E14" s="43">
        <f>SUM(C14:D14)</f>
        <v>13</v>
      </c>
    </row>
    <row r="15" spans="1:5" ht="21.65" customHeight="1" x14ac:dyDescent="0.4">
      <c r="A15" s="9" t="s">
        <v>11</v>
      </c>
      <c r="B15" s="4" t="s">
        <v>13</v>
      </c>
      <c r="C15" s="71">
        <v>4</v>
      </c>
      <c r="D15" s="160"/>
      <c r="E15" s="87">
        <f>SUM(C15:D15)</f>
        <v>4</v>
      </c>
    </row>
    <row r="16" spans="1:5" ht="22" customHeight="1" thickBot="1" x14ac:dyDescent="0.45">
      <c r="A16" s="10" t="s">
        <v>81</v>
      </c>
      <c r="B16" s="5" t="s">
        <v>12</v>
      </c>
      <c r="C16" s="46">
        <v>264</v>
      </c>
      <c r="D16" s="161"/>
      <c r="E16" s="163">
        <f>SUM(C16:D16)</f>
        <v>264</v>
      </c>
    </row>
    <row r="17" spans="1:5" ht="24" customHeight="1" thickBot="1" x14ac:dyDescent="0.45">
      <c r="A17" s="58" t="s">
        <v>14</v>
      </c>
      <c r="B17" s="1" t="s">
        <v>15</v>
      </c>
      <c r="C17" s="44">
        <f>SUM(C18:C18)</f>
        <v>35</v>
      </c>
      <c r="D17" s="44">
        <f>SUM(D18:D18)</f>
        <v>0</v>
      </c>
      <c r="E17" s="44">
        <f>SUM(E18:E18)</f>
        <v>35</v>
      </c>
    </row>
    <row r="18" spans="1:5" ht="20.149999999999999" customHeight="1" thickBot="1" x14ac:dyDescent="0.45">
      <c r="A18" s="7" t="s">
        <v>16</v>
      </c>
      <c r="B18" s="3" t="s">
        <v>17</v>
      </c>
      <c r="C18" s="45">
        <v>35</v>
      </c>
      <c r="D18" s="45"/>
      <c r="E18" s="87">
        <f>SUM(C18:D18)</f>
        <v>35</v>
      </c>
    </row>
    <row r="19" spans="1:5" ht="21" customHeight="1" thickBot="1" x14ac:dyDescent="0.45">
      <c r="A19" s="33" t="s">
        <v>20</v>
      </c>
      <c r="B19" s="25" t="s">
        <v>40</v>
      </c>
      <c r="C19" s="116">
        <f>SUM(C20,C25,C32,C31)</f>
        <v>3249.3</v>
      </c>
      <c r="D19" s="116">
        <f>SUM(D20,D25,D32,D31)</f>
        <v>9</v>
      </c>
      <c r="E19" s="116">
        <f>SUM(E20,E25,E32,E31)</f>
        <v>3258.3</v>
      </c>
    </row>
    <row r="20" spans="1:5" ht="21.65" customHeight="1" thickBot="1" x14ac:dyDescent="0.45">
      <c r="A20" s="58" t="s">
        <v>21</v>
      </c>
      <c r="B20" s="1" t="s">
        <v>42</v>
      </c>
      <c r="C20" s="117">
        <f>SUM(C21:C24)</f>
        <v>134</v>
      </c>
      <c r="D20" s="117">
        <f>SUM(D21:D24)</f>
        <v>0</v>
      </c>
      <c r="E20" s="181">
        <f>SUM(E21:E24)</f>
        <v>134</v>
      </c>
    </row>
    <row r="21" spans="1:5" ht="19.5" customHeight="1" x14ac:dyDescent="0.4">
      <c r="A21" s="7" t="s">
        <v>58</v>
      </c>
      <c r="B21" s="4" t="s">
        <v>86</v>
      </c>
      <c r="C21" s="118">
        <v>91</v>
      </c>
      <c r="D21" s="179"/>
      <c r="E21" s="43">
        <f>SUM(C21:D21)</f>
        <v>91</v>
      </c>
    </row>
    <row r="22" spans="1:5" ht="20.149999999999999" customHeight="1" x14ac:dyDescent="0.4">
      <c r="A22" s="9" t="s">
        <v>64</v>
      </c>
      <c r="B22" s="18" t="s">
        <v>77</v>
      </c>
      <c r="C22" s="112">
        <v>30</v>
      </c>
      <c r="D22" s="180"/>
      <c r="E22" s="87">
        <f>SUM(C22:D22)</f>
        <v>30</v>
      </c>
    </row>
    <row r="23" spans="1:5" ht="20.5" customHeight="1" x14ac:dyDescent="0.4">
      <c r="A23" s="9" t="s">
        <v>75</v>
      </c>
      <c r="B23" s="4" t="s">
        <v>87</v>
      </c>
      <c r="C23" s="102">
        <v>2</v>
      </c>
      <c r="D23" s="174"/>
      <c r="E23" s="87">
        <f>SUM(C23:D23)</f>
        <v>2</v>
      </c>
    </row>
    <row r="24" spans="1:5" ht="21.65" customHeight="1" thickBot="1" x14ac:dyDescent="0.45">
      <c r="A24" s="10" t="s">
        <v>100</v>
      </c>
      <c r="B24" s="5" t="s">
        <v>66</v>
      </c>
      <c r="C24" s="119">
        <v>11</v>
      </c>
      <c r="D24" s="175"/>
      <c r="E24" s="163">
        <f>SUM(C24:D24)</f>
        <v>11</v>
      </c>
    </row>
    <row r="25" spans="1:5" ht="20.149999999999999" customHeight="1" thickBot="1" x14ac:dyDescent="0.45">
      <c r="A25" s="57" t="s">
        <v>36</v>
      </c>
      <c r="B25" s="59" t="s">
        <v>48</v>
      </c>
      <c r="C25" s="120">
        <f>SUM(C26:C30)</f>
        <v>2815.3</v>
      </c>
      <c r="D25" s="120">
        <f>SUM(D26:D30)</f>
        <v>9</v>
      </c>
      <c r="E25" s="182">
        <f>SUM(E26:E30)</f>
        <v>2824.3</v>
      </c>
    </row>
    <row r="26" spans="1:5" ht="22" customHeight="1" x14ac:dyDescent="0.4">
      <c r="A26" s="7" t="s">
        <v>65</v>
      </c>
      <c r="B26" s="2" t="s">
        <v>113</v>
      </c>
      <c r="C26" s="111">
        <v>711.1</v>
      </c>
      <c r="D26" s="172">
        <v>4</v>
      </c>
      <c r="E26" s="43">
        <f>SUM(C26:D26)</f>
        <v>715.1</v>
      </c>
    </row>
    <row r="27" spans="1:5" ht="20.149999999999999" customHeight="1" x14ac:dyDescent="0.4">
      <c r="A27" s="9" t="s">
        <v>72</v>
      </c>
      <c r="B27" s="38" t="s">
        <v>88</v>
      </c>
      <c r="C27" s="108">
        <v>158.4</v>
      </c>
      <c r="D27" s="173"/>
      <c r="E27" s="87">
        <f>SUM(C27:D27)</f>
        <v>158.4</v>
      </c>
    </row>
    <row r="28" spans="1:5" ht="20.5" customHeight="1" x14ac:dyDescent="0.4">
      <c r="A28" s="16" t="s">
        <v>82</v>
      </c>
      <c r="B28" s="81" t="s">
        <v>67</v>
      </c>
      <c r="C28" s="121">
        <v>536.6</v>
      </c>
      <c r="D28" s="171">
        <v>5</v>
      </c>
      <c r="E28" s="87">
        <f>SUM(C28:D28)</f>
        <v>541.6</v>
      </c>
    </row>
    <row r="29" spans="1:5" ht="20.5" customHeight="1" x14ac:dyDescent="0.4">
      <c r="A29" s="16" t="s">
        <v>142</v>
      </c>
      <c r="B29" s="4" t="s">
        <v>18</v>
      </c>
      <c r="C29" s="102">
        <v>13</v>
      </c>
      <c r="D29" s="174"/>
      <c r="E29" s="87">
        <f>SUM(C29:D29)</f>
        <v>13</v>
      </c>
    </row>
    <row r="30" spans="1:5" ht="20.5" customHeight="1" thickBot="1" x14ac:dyDescent="0.45">
      <c r="A30" s="10" t="s">
        <v>143</v>
      </c>
      <c r="B30" s="5" t="s">
        <v>19</v>
      </c>
      <c r="C30" s="119">
        <v>1396.2</v>
      </c>
      <c r="D30" s="175"/>
      <c r="E30" s="163">
        <f>SUM(C30:D30)</f>
        <v>1396.2</v>
      </c>
    </row>
    <row r="31" spans="1:5" ht="15.45" hidden="1" thickBot="1" x14ac:dyDescent="0.45">
      <c r="A31" s="58" t="s">
        <v>144</v>
      </c>
      <c r="B31" s="1" t="s">
        <v>105</v>
      </c>
      <c r="C31" s="117"/>
      <c r="D31" s="117"/>
      <c r="E31" s="117"/>
    </row>
    <row r="32" spans="1:5" ht="22.5" customHeight="1" thickBot="1" x14ac:dyDescent="0.45">
      <c r="A32" s="58" t="s">
        <v>144</v>
      </c>
      <c r="B32" s="1" t="s">
        <v>53</v>
      </c>
      <c r="C32" s="117">
        <v>300</v>
      </c>
      <c r="D32" s="117"/>
      <c r="E32" s="120">
        <f>SUM(C32:D32)</f>
        <v>300</v>
      </c>
    </row>
    <row r="33" spans="1:5" ht="18" thickBot="1" x14ac:dyDescent="0.45">
      <c r="A33" s="30" t="s">
        <v>39</v>
      </c>
      <c r="B33" s="31" t="s">
        <v>68</v>
      </c>
      <c r="C33" s="122">
        <f>SUM(C34:C35)</f>
        <v>140</v>
      </c>
      <c r="D33" s="122">
        <f>SUM(D34:D35)</f>
        <v>0</v>
      </c>
      <c r="E33" s="178">
        <f>SUM(E34:E35)</f>
        <v>140</v>
      </c>
    </row>
    <row r="34" spans="1:5" ht="22" customHeight="1" x14ac:dyDescent="0.4">
      <c r="A34" s="7" t="s">
        <v>41</v>
      </c>
      <c r="B34" s="3" t="s">
        <v>92</v>
      </c>
      <c r="C34" s="123">
        <v>50</v>
      </c>
      <c r="D34" s="176"/>
      <c r="E34" s="43">
        <f>SUM(C34:D34)</f>
        <v>50</v>
      </c>
    </row>
    <row r="35" spans="1:5" ht="25.5" customHeight="1" thickBot="1" x14ac:dyDescent="0.45">
      <c r="A35" s="8" t="s">
        <v>47</v>
      </c>
      <c r="B35" s="80" t="s">
        <v>93</v>
      </c>
      <c r="C35" s="124">
        <v>90</v>
      </c>
      <c r="D35" s="177"/>
      <c r="E35" s="163">
        <f>SUM(C35:D35)</f>
        <v>90</v>
      </c>
    </row>
    <row r="36" spans="1:5" ht="29.5" customHeight="1" thickBot="1" x14ac:dyDescent="0.45">
      <c r="A36" s="14"/>
      <c r="B36" s="25" t="s">
        <v>156</v>
      </c>
      <c r="C36" s="116">
        <f>SUM(C19,C9,C33)</f>
        <v>24998.3</v>
      </c>
      <c r="D36" s="116">
        <f>SUM(D19,D9,D33)</f>
        <v>9</v>
      </c>
      <c r="E36" s="122">
        <f>SUM(E19,E9,E33)</f>
        <v>25007.3</v>
      </c>
    </row>
    <row r="37" spans="1:5" ht="26.5" customHeight="1" thickBot="1" x14ac:dyDescent="0.45">
      <c r="A37" s="33" t="s">
        <v>69</v>
      </c>
      <c r="B37" s="25" t="s">
        <v>85</v>
      </c>
      <c r="C37" s="48">
        <f>SUM(C38,C65)</f>
        <v>11717.042000000001</v>
      </c>
      <c r="D37" s="48">
        <f>SUM(D38,D65)</f>
        <v>68.608999999999995</v>
      </c>
      <c r="E37" s="48">
        <f>SUM(E38,E65)</f>
        <v>11785.651000000002</v>
      </c>
    </row>
    <row r="38" spans="1:5" s="29" customFormat="1" ht="34" customHeight="1" thickBot="1" x14ac:dyDescent="0.5">
      <c r="A38" s="13" t="s">
        <v>146</v>
      </c>
      <c r="B38" s="132" t="s">
        <v>145</v>
      </c>
      <c r="C38" s="40">
        <f>SUM(C63,C39,C62,C64)</f>
        <v>10022.210000000001</v>
      </c>
      <c r="D38" s="40">
        <f>SUM(D63,D39,D62,D64)</f>
        <v>0</v>
      </c>
      <c r="E38" s="162">
        <f>SUM(E63,E39,E62,E64)</f>
        <v>10022.210000000001</v>
      </c>
    </row>
    <row r="39" spans="1:5" ht="15.45" x14ac:dyDescent="0.4">
      <c r="A39" s="17" t="s">
        <v>149</v>
      </c>
      <c r="B39" s="38" t="s">
        <v>22</v>
      </c>
      <c r="C39" s="51">
        <f>SUM(C40:C55,C57:C61)</f>
        <v>2055.61</v>
      </c>
      <c r="D39" s="164">
        <f>SUM(D40:D55,D57:D61)</f>
        <v>0</v>
      </c>
      <c r="E39" s="43">
        <f>SUM(E40:E55,E57:E61)</f>
        <v>2055.61</v>
      </c>
    </row>
    <row r="40" spans="1:5" ht="15.45" x14ac:dyDescent="0.4">
      <c r="A40" s="16"/>
      <c r="B40" s="129" t="s">
        <v>147</v>
      </c>
      <c r="C40" s="143">
        <v>0.1</v>
      </c>
      <c r="D40" s="165"/>
      <c r="E40" s="190">
        <f t="shared" ref="E40:E64" si="0">SUM(C40:D40)</f>
        <v>0.1</v>
      </c>
    </row>
    <row r="41" spans="1:5" ht="15.45" x14ac:dyDescent="0.4">
      <c r="A41" s="11"/>
      <c r="B41" s="127" t="s">
        <v>98</v>
      </c>
      <c r="C41" s="99">
        <v>15.3</v>
      </c>
      <c r="D41" s="166"/>
      <c r="E41" s="190">
        <f t="shared" si="0"/>
        <v>15.3</v>
      </c>
    </row>
    <row r="42" spans="1:5" ht="15.45" x14ac:dyDescent="0.4">
      <c r="A42" s="11"/>
      <c r="B42" s="127" t="s">
        <v>24</v>
      </c>
      <c r="C42" s="99">
        <v>20</v>
      </c>
      <c r="D42" s="166"/>
      <c r="E42" s="190">
        <f t="shared" si="0"/>
        <v>20</v>
      </c>
    </row>
    <row r="43" spans="1:5" ht="15.45" x14ac:dyDescent="0.4">
      <c r="A43" s="11"/>
      <c r="B43" s="130" t="s">
        <v>25</v>
      </c>
      <c r="C43" s="99">
        <v>151.80000000000001</v>
      </c>
      <c r="D43" s="166"/>
      <c r="E43" s="190">
        <f t="shared" si="0"/>
        <v>151.80000000000001</v>
      </c>
    </row>
    <row r="44" spans="1:5" ht="15.45" x14ac:dyDescent="0.4">
      <c r="A44" s="11"/>
      <c r="B44" s="130" t="s">
        <v>56</v>
      </c>
      <c r="C44" s="99">
        <v>12</v>
      </c>
      <c r="D44" s="166"/>
      <c r="E44" s="190">
        <f t="shared" si="0"/>
        <v>12</v>
      </c>
    </row>
    <row r="45" spans="1:5" ht="15.45" x14ac:dyDescent="0.4">
      <c r="A45" s="11"/>
      <c r="B45" s="130" t="s">
        <v>26</v>
      </c>
      <c r="C45" s="99">
        <v>426.1</v>
      </c>
      <c r="D45" s="166"/>
      <c r="E45" s="190">
        <f t="shared" si="0"/>
        <v>426.1</v>
      </c>
    </row>
    <row r="46" spans="1:5" ht="15.45" x14ac:dyDescent="0.4">
      <c r="A46" s="11"/>
      <c r="B46" s="130" t="s">
        <v>27</v>
      </c>
      <c r="C46" s="99">
        <v>1005.2</v>
      </c>
      <c r="D46" s="166"/>
      <c r="E46" s="190">
        <f t="shared" si="0"/>
        <v>1005.2</v>
      </c>
    </row>
    <row r="47" spans="1:5" ht="15.45" x14ac:dyDescent="0.4">
      <c r="A47" s="11"/>
      <c r="B47" s="127" t="s">
        <v>96</v>
      </c>
      <c r="C47" s="99">
        <v>17.899999999999999</v>
      </c>
      <c r="D47" s="166"/>
      <c r="E47" s="190">
        <f t="shared" si="0"/>
        <v>17.899999999999999</v>
      </c>
    </row>
    <row r="48" spans="1:5" ht="15.45" x14ac:dyDescent="0.4">
      <c r="A48" s="11"/>
      <c r="B48" s="127" t="s">
        <v>99</v>
      </c>
      <c r="C48" s="99">
        <v>84.6</v>
      </c>
      <c r="D48" s="166"/>
      <c r="E48" s="190">
        <f t="shared" si="0"/>
        <v>84.6</v>
      </c>
    </row>
    <row r="49" spans="1:5" ht="15.45" x14ac:dyDescent="0.4">
      <c r="A49" s="11"/>
      <c r="B49" s="127" t="s">
        <v>61</v>
      </c>
      <c r="C49" s="99">
        <v>179.2</v>
      </c>
      <c r="D49" s="166"/>
      <c r="E49" s="190">
        <f t="shared" si="0"/>
        <v>179.2</v>
      </c>
    </row>
    <row r="50" spans="1:5" ht="15.45" x14ac:dyDescent="0.4">
      <c r="A50" s="11"/>
      <c r="B50" s="127" t="s">
        <v>79</v>
      </c>
      <c r="C50" s="99">
        <v>1.8</v>
      </c>
      <c r="D50" s="166"/>
      <c r="E50" s="190">
        <f t="shared" si="0"/>
        <v>1.8</v>
      </c>
    </row>
    <row r="51" spans="1:5" ht="15.45" x14ac:dyDescent="0.4">
      <c r="A51" s="11"/>
      <c r="B51" s="127" t="s">
        <v>28</v>
      </c>
      <c r="C51" s="99">
        <v>25.3</v>
      </c>
      <c r="D51" s="166"/>
      <c r="E51" s="190">
        <f t="shared" si="0"/>
        <v>25.3</v>
      </c>
    </row>
    <row r="52" spans="1:5" ht="15.45" x14ac:dyDescent="0.4">
      <c r="A52" s="11"/>
      <c r="B52" s="127" t="s">
        <v>29</v>
      </c>
      <c r="C52" s="99">
        <v>13.6</v>
      </c>
      <c r="D52" s="166"/>
      <c r="E52" s="190">
        <f t="shared" si="0"/>
        <v>13.6</v>
      </c>
    </row>
    <row r="53" spans="1:5" ht="15.45" x14ac:dyDescent="0.4">
      <c r="A53" s="11"/>
      <c r="B53" s="127" t="s">
        <v>30</v>
      </c>
      <c r="C53" s="99">
        <v>0.4</v>
      </c>
      <c r="D53" s="166"/>
      <c r="E53" s="190">
        <f t="shared" si="0"/>
        <v>0.4</v>
      </c>
    </row>
    <row r="54" spans="1:5" ht="30.9" x14ac:dyDescent="0.4">
      <c r="A54" s="11"/>
      <c r="B54" s="127" t="s">
        <v>32</v>
      </c>
      <c r="C54" s="99">
        <v>2.2000000000000002</v>
      </c>
      <c r="D54" s="166"/>
      <c r="E54" s="87">
        <f t="shared" si="0"/>
        <v>2.2000000000000002</v>
      </c>
    </row>
    <row r="55" spans="1:5" ht="15.45" x14ac:dyDescent="0.4">
      <c r="A55" s="11"/>
      <c r="B55" s="127" t="s">
        <v>31</v>
      </c>
      <c r="C55" s="115">
        <v>48.8</v>
      </c>
      <c r="D55" s="167"/>
      <c r="E55" s="87">
        <f t="shared" si="0"/>
        <v>48.8</v>
      </c>
    </row>
    <row r="56" spans="1:5" s="128" customFormat="1" ht="15.45" x14ac:dyDescent="0.4">
      <c r="A56" s="126"/>
      <c r="B56" s="131" t="s">
        <v>148</v>
      </c>
      <c r="C56" s="144">
        <v>12</v>
      </c>
      <c r="D56" s="168"/>
      <c r="E56" s="190">
        <f t="shared" si="0"/>
        <v>12</v>
      </c>
    </row>
    <row r="57" spans="1:5" ht="30.9" x14ac:dyDescent="0.4">
      <c r="A57" s="11"/>
      <c r="B57" s="127" t="s">
        <v>33</v>
      </c>
      <c r="C57" s="115">
        <v>1.45</v>
      </c>
      <c r="D57" s="167"/>
      <c r="E57" s="190">
        <f t="shared" si="0"/>
        <v>1.45</v>
      </c>
    </row>
    <row r="58" spans="1:5" ht="15.45" x14ac:dyDescent="0.4">
      <c r="A58" s="11"/>
      <c r="B58" s="127" t="s">
        <v>34</v>
      </c>
      <c r="C58" s="115">
        <v>11.2</v>
      </c>
      <c r="D58" s="167"/>
      <c r="E58" s="190">
        <f t="shared" si="0"/>
        <v>11.2</v>
      </c>
    </row>
    <row r="59" spans="1:5" ht="30.9" x14ac:dyDescent="0.4">
      <c r="A59" s="11"/>
      <c r="B59" s="127" t="s">
        <v>109</v>
      </c>
      <c r="C59" s="115">
        <v>1.4</v>
      </c>
      <c r="D59" s="167"/>
      <c r="E59" s="190">
        <f t="shared" si="0"/>
        <v>1.4</v>
      </c>
    </row>
    <row r="60" spans="1:5" ht="26.15" customHeight="1" x14ac:dyDescent="0.4">
      <c r="A60" s="11"/>
      <c r="B60" s="127" t="s">
        <v>35</v>
      </c>
      <c r="C60" s="115">
        <v>10</v>
      </c>
      <c r="D60" s="167"/>
      <c r="E60" s="190">
        <f t="shared" si="0"/>
        <v>10</v>
      </c>
    </row>
    <row r="61" spans="1:5" ht="46.3" x14ac:dyDescent="0.4">
      <c r="A61" s="17"/>
      <c r="B61" s="127" t="s">
        <v>116</v>
      </c>
      <c r="C61" s="115">
        <v>27.26</v>
      </c>
      <c r="D61" s="167"/>
      <c r="E61" s="190">
        <f t="shared" si="0"/>
        <v>27.26</v>
      </c>
    </row>
    <row r="62" spans="1:5" ht="28.5" customHeight="1" x14ac:dyDescent="0.4">
      <c r="A62" s="17" t="s">
        <v>150</v>
      </c>
      <c r="B62" s="38" t="s">
        <v>181</v>
      </c>
      <c r="C62" s="157">
        <v>7634.8</v>
      </c>
      <c r="D62" s="169"/>
      <c r="E62" s="87">
        <f t="shared" si="0"/>
        <v>7634.8</v>
      </c>
    </row>
    <row r="63" spans="1:5" ht="33.65" customHeight="1" x14ac:dyDescent="0.4">
      <c r="A63" s="11" t="s">
        <v>151</v>
      </c>
      <c r="B63" s="73" t="s">
        <v>186</v>
      </c>
      <c r="C63" s="158">
        <v>296.8</v>
      </c>
      <c r="D63" s="170"/>
      <c r="E63" s="87">
        <f t="shared" si="0"/>
        <v>296.8</v>
      </c>
    </row>
    <row r="64" spans="1:5" ht="42" customHeight="1" thickBot="1" x14ac:dyDescent="0.45">
      <c r="A64" s="16" t="s">
        <v>183</v>
      </c>
      <c r="B64" s="133" t="s">
        <v>37</v>
      </c>
      <c r="C64" s="121">
        <v>35</v>
      </c>
      <c r="D64" s="171"/>
      <c r="E64" s="163">
        <f t="shared" si="0"/>
        <v>35</v>
      </c>
    </row>
    <row r="65" spans="1:5" ht="29.15" customHeight="1" thickBot="1" x14ac:dyDescent="0.45">
      <c r="A65" s="13" t="s">
        <v>154</v>
      </c>
      <c r="B65" s="132" t="s">
        <v>157</v>
      </c>
      <c r="C65" s="134">
        <f>SUM(C66:C97)</f>
        <v>1694.8320000000003</v>
      </c>
      <c r="D65" s="134">
        <f>SUM(D66:D97)</f>
        <v>68.608999999999995</v>
      </c>
      <c r="E65" s="197">
        <f>SUM(E66:E97)</f>
        <v>1763.4410000000003</v>
      </c>
    </row>
    <row r="66" spans="1:5" ht="35.15" customHeight="1" x14ac:dyDescent="0.4">
      <c r="A66" s="60"/>
      <c r="B66" s="61" t="s">
        <v>117</v>
      </c>
      <c r="C66" s="113">
        <v>108.2</v>
      </c>
      <c r="D66" s="191"/>
      <c r="E66" s="113">
        <f>C66+D66</f>
        <v>108.2</v>
      </c>
    </row>
    <row r="67" spans="1:5" ht="45" hidden="1" customHeight="1" x14ac:dyDescent="0.4">
      <c r="A67" s="24"/>
      <c r="B67" s="61" t="s">
        <v>159</v>
      </c>
      <c r="C67" s="139"/>
      <c r="D67" s="192"/>
      <c r="E67" s="139">
        <f t="shared" ref="E67:E97" si="1">C67+D67</f>
        <v>0</v>
      </c>
    </row>
    <row r="68" spans="1:5" ht="45" hidden="1" customHeight="1" x14ac:dyDescent="0.4">
      <c r="A68" s="24"/>
      <c r="B68" s="140" t="s">
        <v>163</v>
      </c>
      <c r="C68" s="139"/>
      <c r="D68" s="192"/>
      <c r="E68" s="139">
        <f t="shared" si="1"/>
        <v>0</v>
      </c>
    </row>
    <row r="69" spans="1:5" ht="45" hidden="1" customHeight="1" x14ac:dyDescent="0.4">
      <c r="A69" s="24"/>
      <c r="B69" s="140" t="s">
        <v>164</v>
      </c>
      <c r="C69" s="141"/>
      <c r="D69" s="193"/>
      <c r="E69" s="139">
        <f t="shared" si="1"/>
        <v>0</v>
      </c>
    </row>
    <row r="70" spans="1:5" ht="45" customHeight="1" x14ac:dyDescent="0.4">
      <c r="A70" s="24"/>
      <c r="B70" s="142" t="s">
        <v>165</v>
      </c>
      <c r="C70" s="139"/>
      <c r="D70" s="192">
        <v>12.071999999999999</v>
      </c>
      <c r="E70" s="139">
        <f t="shared" si="1"/>
        <v>12.071999999999999</v>
      </c>
    </row>
    <row r="71" spans="1:5" ht="45" hidden="1" customHeight="1" x14ac:dyDescent="0.4">
      <c r="A71" s="24"/>
      <c r="B71" s="142" t="s">
        <v>170</v>
      </c>
      <c r="C71" s="114"/>
      <c r="D71" s="194"/>
      <c r="E71" s="139">
        <f t="shared" si="1"/>
        <v>0</v>
      </c>
    </row>
    <row r="72" spans="1:5" ht="38.15" customHeight="1" x14ac:dyDescent="0.4">
      <c r="A72" s="482"/>
      <c r="B72" s="138" t="s">
        <v>168</v>
      </c>
      <c r="C72" s="115">
        <v>1185</v>
      </c>
      <c r="D72" s="167">
        <v>32.299999999999997</v>
      </c>
      <c r="E72" s="139">
        <f t="shared" si="1"/>
        <v>1217.3</v>
      </c>
    </row>
    <row r="73" spans="1:5" ht="37" customHeight="1" x14ac:dyDescent="0.4">
      <c r="A73" s="482"/>
      <c r="B73" s="145" t="s">
        <v>119</v>
      </c>
      <c r="C73" s="154">
        <v>48.677999999999997</v>
      </c>
      <c r="D73" s="195"/>
      <c r="E73" s="139">
        <f t="shared" si="1"/>
        <v>48.677999999999997</v>
      </c>
    </row>
    <row r="74" spans="1:5" ht="37" hidden="1" customHeight="1" x14ac:dyDescent="0.4">
      <c r="A74" s="482"/>
      <c r="B74" s="145" t="s">
        <v>174</v>
      </c>
      <c r="C74" s="154"/>
      <c r="D74" s="195"/>
      <c r="E74" s="139">
        <f t="shared" si="1"/>
        <v>0</v>
      </c>
    </row>
    <row r="75" spans="1:5" ht="37" hidden="1" customHeight="1" x14ac:dyDescent="0.4">
      <c r="A75" s="482"/>
      <c r="B75" s="145" t="s">
        <v>175</v>
      </c>
      <c r="C75" s="154"/>
      <c r="D75" s="195"/>
      <c r="E75" s="139">
        <f t="shared" si="1"/>
        <v>0</v>
      </c>
    </row>
    <row r="76" spans="1:5" ht="34" customHeight="1" x14ac:dyDescent="0.4">
      <c r="A76" s="482"/>
      <c r="B76" s="145" t="s">
        <v>118</v>
      </c>
      <c r="C76" s="154">
        <v>23.091999999999999</v>
      </c>
      <c r="D76" s="195"/>
      <c r="E76" s="139">
        <f t="shared" si="1"/>
        <v>23.091999999999999</v>
      </c>
    </row>
    <row r="77" spans="1:5" ht="33.65" customHeight="1" x14ac:dyDescent="0.4">
      <c r="A77" s="482"/>
      <c r="B77" s="145" t="s">
        <v>121</v>
      </c>
      <c r="C77" s="154">
        <v>24.2</v>
      </c>
      <c r="D77" s="195"/>
      <c r="E77" s="139">
        <f t="shared" si="1"/>
        <v>24.2</v>
      </c>
    </row>
    <row r="78" spans="1:5" ht="37" customHeight="1" x14ac:dyDescent="0.4">
      <c r="A78" s="482"/>
      <c r="B78" s="145" t="s">
        <v>123</v>
      </c>
      <c r="C78" s="154">
        <v>12.467000000000001</v>
      </c>
      <c r="D78" s="195"/>
      <c r="E78" s="139">
        <f t="shared" si="1"/>
        <v>12.467000000000001</v>
      </c>
    </row>
    <row r="79" spans="1:5" ht="25.75" hidden="1" x14ac:dyDescent="0.4">
      <c r="A79" s="482"/>
      <c r="B79" s="145" t="s">
        <v>152</v>
      </c>
      <c r="C79" s="154"/>
      <c r="D79" s="195"/>
      <c r="E79" s="139">
        <f t="shared" si="1"/>
        <v>0</v>
      </c>
    </row>
    <row r="80" spans="1:5" ht="33" hidden="1" customHeight="1" x14ac:dyDescent="0.4">
      <c r="A80" s="482"/>
      <c r="B80" s="145" t="s">
        <v>160</v>
      </c>
      <c r="C80" s="154"/>
      <c r="D80" s="195"/>
      <c r="E80" s="139">
        <f t="shared" si="1"/>
        <v>0</v>
      </c>
    </row>
    <row r="81" spans="1:5" ht="33.65" customHeight="1" x14ac:dyDescent="0.4">
      <c r="A81" s="482"/>
      <c r="B81" s="145" t="s">
        <v>153</v>
      </c>
      <c r="C81" s="154">
        <v>62.896000000000001</v>
      </c>
      <c r="D81" s="195"/>
      <c r="E81" s="139">
        <f t="shared" si="1"/>
        <v>62.896000000000001</v>
      </c>
    </row>
    <row r="82" spans="1:5" ht="41.5" customHeight="1" x14ac:dyDescent="0.4">
      <c r="A82" s="482"/>
      <c r="B82" s="146" t="s">
        <v>162</v>
      </c>
      <c r="C82" s="155">
        <v>29.369</v>
      </c>
      <c r="D82" s="196">
        <v>24.431000000000001</v>
      </c>
      <c r="E82" s="139">
        <f t="shared" si="1"/>
        <v>53.8</v>
      </c>
    </row>
    <row r="83" spans="1:5" ht="41.5" customHeight="1" x14ac:dyDescent="0.4">
      <c r="A83" s="482"/>
      <c r="B83" s="146" t="s">
        <v>161</v>
      </c>
      <c r="C83" s="155">
        <v>69.66</v>
      </c>
      <c r="D83" s="196"/>
      <c r="E83" s="139">
        <f t="shared" si="1"/>
        <v>69.66</v>
      </c>
    </row>
    <row r="84" spans="1:5" ht="41.5" customHeight="1" x14ac:dyDescent="0.4">
      <c r="A84" s="482"/>
      <c r="B84" s="146" t="s">
        <v>190</v>
      </c>
      <c r="C84" s="155">
        <v>5.7</v>
      </c>
      <c r="D84" s="196"/>
      <c r="E84" s="139">
        <f t="shared" si="1"/>
        <v>5.7</v>
      </c>
    </row>
    <row r="85" spans="1:5" ht="41.5" customHeight="1" x14ac:dyDescent="0.4">
      <c r="A85" s="482"/>
      <c r="B85" s="147" t="s">
        <v>185</v>
      </c>
      <c r="C85" s="155">
        <v>12.34</v>
      </c>
      <c r="D85" s="196"/>
      <c r="E85" s="139">
        <f t="shared" si="1"/>
        <v>12.34</v>
      </c>
    </row>
    <row r="86" spans="1:5" ht="41.5" customHeight="1" x14ac:dyDescent="0.4">
      <c r="A86" s="482"/>
      <c r="B86" s="146" t="s">
        <v>184</v>
      </c>
      <c r="C86" s="155">
        <v>41.034999999999997</v>
      </c>
      <c r="D86" s="196"/>
      <c r="E86" s="139">
        <f t="shared" si="1"/>
        <v>41.034999999999997</v>
      </c>
    </row>
    <row r="87" spans="1:5" ht="41.5" customHeight="1" x14ac:dyDescent="0.4">
      <c r="A87" s="482"/>
      <c r="B87" s="146" t="s">
        <v>166</v>
      </c>
      <c r="C87" s="155">
        <v>14.532</v>
      </c>
      <c r="D87" s="196">
        <v>-0.19400000000000001</v>
      </c>
      <c r="E87" s="139">
        <f t="shared" si="1"/>
        <v>14.337999999999999</v>
      </c>
    </row>
    <row r="88" spans="1:5" ht="38.15" hidden="1" customHeight="1" x14ac:dyDescent="0.4">
      <c r="A88" s="482"/>
      <c r="B88" s="146" t="s">
        <v>167</v>
      </c>
      <c r="C88" s="155"/>
      <c r="D88" s="196"/>
      <c r="E88" s="139">
        <f t="shared" si="1"/>
        <v>0</v>
      </c>
    </row>
    <row r="89" spans="1:5" ht="51.45" x14ac:dyDescent="0.4">
      <c r="A89" s="482"/>
      <c r="B89" s="148" t="s">
        <v>169</v>
      </c>
      <c r="C89" s="155">
        <f>19.051+19.288+0.386</f>
        <v>38.725000000000001</v>
      </c>
      <c r="D89" s="200"/>
      <c r="E89" s="139">
        <f t="shared" si="1"/>
        <v>38.725000000000001</v>
      </c>
    </row>
    <row r="90" spans="1:5" ht="51.45" hidden="1" x14ac:dyDescent="0.4">
      <c r="A90" s="482"/>
      <c r="B90" s="148" t="s">
        <v>177</v>
      </c>
      <c r="C90" s="155"/>
      <c r="D90" s="200"/>
      <c r="E90" s="139">
        <f t="shared" si="1"/>
        <v>0</v>
      </c>
    </row>
    <row r="91" spans="1:5" ht="51.45" x14ac:dyDescent="0.4">
      <c r="A91" s="482"/>
      <c r="B91" s="148" t="s">
        <v>172</v>
      </c>
      <c r="C91" s="155">
        <f>0.293+0.153+0.003</f>
        <v>0.44899999999999995</v>
      </c>
      <c r="D91" s="200"/>
      <c r="E91" s="139">
        <f t="shared" si="1"/>
        <v>0.44899999999999995</v>
      </c>
    </row>
    <row r="92" spans="1:5" ht="38.6" hidden="1" x14ac:dyDescent="0.4">
      <c r="A92" s="482"/>
      <c r="B92" s="148" t="s">
        <v>173</v>
      </c>
      <c r="C92" s="155"/>
      <c r="D92" s="196"/>
      <c r="E92" s="139">
        <f t="shared" si="1"/>
        <v>0</v>
      </c>
    </row>
    <row r="93" spans="1:5" ht="38.6" hidden="1" x14ac:dyDescent="0.4">
      <c r="A93" s="482"/>
      <c r="B93" s="148" t="s">
        <v>171</v>
      </c>
      <c r="C93" s="155"/>
      <c r="D93" s="196"/>
      <c r="E93" s="139">
        <f t="shared" si="1"/>
        <v>0</v>
      </c>
    </row>
    <row r="94" spans="1:5" ht="51.45" hidden="1" x14ac:dyDescent="0.4">
      <c r="A94" s="482"/>
      <c r="B94" s="148" t="s">
        <v>176</v>
      </c>
      <c r="C94" s="155"/>
      <c r="D94" s="196"/>
      <c r="E94" s="139">
        <f t="shared" si="1"/>
        <v>0</v>
      </c>
    </row>
    <row r="95" spans="1:5" ht="39.65" hidden="1" customHeight="1" x14ac:dyDescent="0.4">
      <c r="A95" s="482"/>
      <c r="B95" s="148" t="s">
        <v>179</v>
      </c>
      <c r="C95" s="155"/>
      <c r="D95" s="196"/>
      <c r="E95" s="139">
        <f t="shared" si="1"/>
        <v>0</v>
      </c>
    </row>
    <row r="96" spans="1:5" ht="31.5" hidden="1" customHeight="1" x14ac:dyDescent="0.4">
      <c r="A96" s="482"/>
      <c r="B96" s="148" t="s">
        <v>178</v>
      </c>
      <c r="C96" s="155"/>
      <c r="D96" s="196"/>
      <c r="E96" s="139">
        <f t="shared" si="1"/>
        <v>0</v>
      </c>
    </row>
    <row r="97" spans="1:5" ht="32.15" customHeight="1" thickBot="1" x14ac:dyDescent="0.45">
      <c r="A97" s="482"/>
      <c r="B97" s="148" t="s">
        <v>158</v>
      </c>
      <c r="C97" s="155">
        <v>18.489000000000001</v>
      </c>
      <c r="D97" s="196"/>
      <c r="E97" s="199">
        <f t="shared" si="1"/>
        <v>18.489000000000001</v>
      </c>
    </row>
    <row r="98" spans="1:5" ht="35.6" thickBot="1" x14ac:dyDescent="0.45">
      <c r="A98" s="135" t="s">
        <v>76</v>
      </c>
      <c r="B98" s="149" t="s">
        <v>155</v>
      </c>
      <c r="C98" s="136">
        <v>688.17499999999995</v>
      </c>
      <c r="D98" s="136"/>
      <c r="E98" s="198">
        <v>688.17499999999995</v>
      </c>
    </row>
    <row r="99" spans="1:5" ht="29.5" customHeight="1" thickBot="1" x14ac:dyDescent="0.45">
      <c r="A99" s="137"/>
      <c r="B99" s="150" t="s">
        <v>70</v>
      </c>
      <c r="C99" s="136">
        <f>SUM(C98,C37,C36)</f>
        <v>37403.517</v>
      </c>
      <c r="D99" s="136">
        <f>SUM(D98,D37,D36)</f>
        <v>77.608999999999995</v>
      </c>
      <c r="E99" s="136">
        <f>SUM(E98,E37,E36)</f>
        <v>37481.126000000004</v>
      </c>
    </row>
    <row r="100" spans="1:5" ht="29.5" customHeight="1" thickBot="1" x14ac:dyDescent="0.45">
      <c r="A100" s="39">
        <v>6</v>
      </c>
      <c r="B100" s="151" t="s">
        <v>111</v>
      </c>
      <c r="C100" s="156">
        <v>7869.1350000000002</v>
      </c>
      <c r="D100" s="156"/>
      <c r="E100" s="156">
        <v>7869.1350000000002</v>
      </c>
    </row>
    <row r="101" spans="1:5" ht="26.5" customHeight="1" thickBot="1" x14ac:dyDescent="0.45">
      <c r="A101" s="13"/>
      <c r="B101" s="152" t="s">
        <v>112</v>
      </c>
      <c r="C101" s="136">
        <f>SUM(C99:C100)</f>
        <v>45272.652000000002</v>
      </c>
      <c r="D101" s="136">
        <f>SUM(D99:D100)</f>
        <v>77.608999999999995</v>
      </c>
      <c r="E101" s="136">
        <f>SUM(E99:E100)</f>
        <v>45350.261000000006</v>
      </c>
    </row>
    <row r="102" spans="1:5" ht="22.5" customHeight="1" thickBot="1" x14ac:dyDescent="0.45">
      <c r="A102" s="13"/>
      <c r="B102" s="153" t="s">
        <v>71</v>
      </c>
      <c r="C102" s="120">
        <v>2069.9899999999998</v>
      </c>
      <c r="D102" s="120"/>
      <c r="E102" s="120">
        <v>2069.9899999999998</v>
      </c>
    </row>
    <row r="104" spans="1:5" x14ac:dyDescent="0.4">
      <c r="C104" s="70">
        <f>SUM(C101:C102)</f>
        <v>47342.642</v>
      </c>
    </row>
  </sheetData>
  <mergeCells count="7">
    <mergeCell ref="A5:E5"/>
    <mergeCell ref="D7:D8"/>
    <mergeCell ref="E7:E8"/>
    <mergeCell ref="A72:A97"/>
    <mergeCell ref="A7:A8"/>
    <mergeCell ref="B7:B8"/>
    <mergeCell ref="C7:C8"/>
  </mergeCells>
  <pageMargins left="0.70866141732283472" right="0.11811023622047245" top="0.74803149606299213" bottom="0.74803149606299213" header="0.31496062992125984" footer="0.31496062992125984"/>
  <pageSetup paperSize="9" scale="81" fitToHeight="4" orientation="portrait" r:id="rId1"/>
  <ignoredErrors>
    <ignoredError sqref="E13 E33 E25 E17" formula="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Darbalapiai</vt:lpstr>
      </vt:variant>
      <vt:variant>
        <vt:i4>4</vt:i4>
      </vt:variant>
      <vt:variant>
        <vt:lpstr>Įvardytieji diapazonai</vt:lpstr>
      </vt:variant>
      <vt:variant>
        <vt:i4>4</vt:i4>
      </vt:variant>
    </vt:vector>
  </HeadingPairs>
  <TitlesOfParts>
    <vt:vector size="8" baseType="lpstr">
      <vt:lpstr>PAJAMOS tukst.euru</vt:lpstr>
      <vt:lpstr>2025-2027 pajamos</vt:lpstr>
      <vt:lpstr>Likuciais ir skolintos</vt:lpstr>
      <vt:lpstr>tikslinimas</vt:lpstr>
      <vt:lpstr>tikslinimas!Print_Area</vt:lpstr>
      <vt:lpstr>'2025-2027 pajamos'!Print_Titles</vt:lpstr>
      <vt:lpstr>'PAJAMOS tukst.euru'!Print_Titles</vt:lpstr>
      <vt:lpstr>tikslinimas!Print_Titles</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Nadežda</dc:creator>
  <cp:lastModifiedBy>Bendras6</cp:lastModifiedBy>
  <cp:lastPrinted>2025-01-28T12:44:46Z</cp:lastPrinted>
  <dcterms:created xsi:type="dcterms:W3CDTF">2015-01-22T12:18:47Z</dcterms:created>
  <dcterms:modified xsi:type="dcterms:W3CDTF">2025-01-29T10:11:42Z</dcterms:modified>
</cp:coreProperties>
</file>